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 2021年全市财政支出预算支出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PA7">'[1]SW-TEO'!#REF!</definedName>
    <definedName name="_______PA8">'[1]SW-TEO'!#REF!</definedName>
    <definedName name="_______PD1">'[1]SW-TEO'!#REF!</definedName>
    <definedName name="_______PE12">'[1]SW-TEO'!#REF!</definedName>
    <definedName name="_______PE13">'[1]SW-TEO'!#REF!</definedName>
    <definedName name="_______PE6">'[1]SW-TEO'!#REF!</definedName>
    <definedName name="_______PE7">'[1]SW-TEO'!#REF!</definedName>
    <definedName name="_______PE8">'[1]SW-TEO'!#REF!</definedName>
    <definedName name="_______PE9">'[1]SW-TEO'!#REF!</definedName>
    <definedName name="_______PH1">'[1]SW-TEO'!#REF!</definedName>
    <definedName name="_______PI1">'[1]SW-TEO'!#REF!</definedName>
    <definedName name="_______PK1">'[1]SW-TEO'!#REF!</definedName>
    <definedName name="_______PK3">'[1]SW-TEO'!#REF!</definedName>
    <definedName name="______PA7">'[1]SW-TEO'!#REF!</definedName>
    <definedName name="______PA8">'[1]SW-TEO'!#REF!</definedName>
    <definedName name="______PD1">'[1]SW-TEO'!#REF!</definedName>
    <definedName name="______PE12">'[1]SW-TEO'!#REF!</definedName>
    <definedName name="______PE13">'[1]SW-TEO'!#REF!</definedName>
    <definedName name="______PE6">'[1]SW-TEO'!#REF!</definedName>
    <definedName name="______PE7">'[1]SW-TEO'!#REF!</definedName>
    <definedName name="______PE8">'[1]SW-TEO'!#REF!</definedName>
    <definedName name="______PE9">'[1]SW-TEO'!#REF!</definedName>
    <definedName name="______PH1">'[1]SW-TEO'!#REF!</definedName>
    <definedName name="______PI1">'[1]SW-TEO'!#REF!</definedName>
    <definedName name="______PK1">'[1]SW-TEO'!#REF!</definedName>
    <definedName name="______PK3">'[1]SW-TEO'!#REF!</definedName>
    <definedName name="_____PA7">'[1]SW-TEO'!#REF!</definedName>
    <definedName name="_____PA8">'[1]SW-TEO'!#REF!</definedName>
    <definedName name="_____PD1">'[1]SW-TEO'!#REF!</definedName>
    <definedName name="_____PE12">'[1]SW-TEO'!#REF!</definedName>
    <definedName name="_____PE13">'[1]SW-TEO'!#REF!</definedName>
    <definedName name="_____PE6">'[1]SW-TEO'!#REF!</definedName>
    <definedName name="_____PE7">'[1]SW-TEO'!#REF!</definedName>
    <definedName name="_____PE8">'[1]SW-TEO'!#REF!</definedName>
    <definedName name="_____PE9">'[1]SW-TEO'!#REF!</definedName>
    <definedName name="_____PH1">'[1]SW-TEO'!#REF!</definedName>
    <definedName name="_____PI1">'[1]SW-TEO'!#REF!</definedName>
    <definedName name="_____PK1">'[1]SW-TEO'!#REF!</definedName>
    <definedName name="_____PK3">'[1]SW-TEO'!#REF!</definedName>
    <definedName name="____PA7">'[1]SW-TEO'!#REF!</definedName>
    <definedName name="____PA8">'[1]SW-TEO'!#REF!</definedName>
    <definedName name="____PD1">'[1]SW-TEO'!#REF!</definedName>
    <definedName name="____PE12">'[1]SW-TEO'!#REF!</definedName>
    <definedName name="____PE13">'[1]SW-TEO'!#REF!</definedName>
    <definedName name="____PE6">'[1]SW-TEO'!#REF!</definedName>
    <definedName name="____PE7">'[1]SW-TEO'!#REF!</definedName>
    <definedName name="____PE8">'[1]SW-TEO'!#REF!</definedName>
    <definedName name="____PE9">'[1]SW-TEO'!#REF!</definedName>
    <definedName name="____PH1">'[1]SW-TEO'!#REF!</definedName>
    <definedName name="____PI1">'[1]SW-TEO'!#REF!</definedName>
    <definedName name="____PK1">'[1]SW-TEO'!#REF!</definedName>
    <definedName name="____PK3">'[1]SW-TEO'!#REF!</definedName>
    <definedName name="___PA7">'[1]SW-TEO'!#REF!</definedName>
    <definedName name="___PA8">'[1]SW-TEO'!#REF!</definedName>
    <definedName name="___PD1">'[1]SW-TEO'!#REF!</definedName>
    <definedName name="___PE12">'[1]SW-TEO'!#REF!</definedName>
    <definedName name="___PE13">'[1]SW-TEO'!#REF!</definedName>
    <definedName name="___PE6">'[1]SW-TEO'!#REF!</definedName>
    <definedName name="___PE7">'[1]SW-TEO'!#REF!</definedName>
    <definedName name="___PE8">'[1]SW-TEO'!#REF!</definedName>
    <definedName name="___PE9">'[1]SW-TEO'!#REF!</definedName>
    <definedName name="___PH1">'[1]SW-TEO'!#REF!</definedName>
    <definedName name="___PI1">'[1]SW-TEO'!#REF!</definedName>
    <definedName name="___PK1">'[1]SW-TEO'!#REF!</definedName>
    <definedName name="___PK3">'[1]SW-TEO'!#REF!</definedName>
    <definedName name="__PA7">'[1]SW-TEO'!#REF!</definedName>
    <definedName name="__PA8">'[1]SW-TEO'!#REF!</definedName>
    <definedName name="__PD1">'[1]SW-TEO'!#REF!</definedName>
    <definedName name="__PE12">'[1]SW-TEO'!#REF!</definedName>
    <definedName name="__PE13">'[1]SW-TEO'!#REF!</definedName>
    <definedName name="__PE6">'[1]SW-TEO'!#REF!</definedName>
    <definedName name="__PE7">'[1]SW-TEO'!#REF!</definedName>
    <definedName name="__PE8">'[1]SW-TEO'!#REF!</definedName>
    <definedName name="__PE9">'[1]SW-TEO'!#REF!</definedName>
    <definedName name="__PH1">'[1]SW-TEO'!#REF!</definedName>
    <definedName name="__PI1">'[1]SW-TEO'!#REF!</definedName>
    <definedName name="__PK1">'[1]SW-TEO'!#REF!</definedName>
    <definedName name="__PK3">'[1]SW-TEO'!#REF!</definedName>
    <definedName name="_Builtin0" localSheetId="0">#REF!</definedName>
    <definedName name="_Fill" localSheetId="0" hidden="1">[3]eqpmad2!#REF!</definedName>
    <definedName name="_xlnm._FilterDatabase" localSheetId="0" hidden="1">#REF!</definedName>
    <definedName name="_Order1" hidden="1">255</definedName>
    <definedName name="_Order2" hidden="1">255</definedName>
    <definedName name="_PA7">'[1]SW-TEO'!#REF!</definedName>
    <definedName name="_PA8">'[1]SW-TEO'!#REF!</definedName>
    <definedName name="_PD1">'[1]SW-TEO'!#REF!</definedName>
    <definedName name="_PE12">'[1]SW-TEO'!#REF!</definedName>
    <definedName name="_PE13">'[1]SW-TEO'!#REF!</definedName>
    <definedName name="_PE6">'[1]SW-TEO'!#REF!</definedName>
    <definedName name="_PE7">'[1]SW-TEO'!#REF!</definedName>
    <definedName name="_PE8">'[1]SW-TEO'!#REF!</definedName>
    <definedName name="_PE9">'[1]SW-TEO'!#REF!</definedName>
    <definedName name="_PH1">'[1]SW-TEO'!#REF!</definedName>
    <definedName name="_PI1">'[1]SW-TEO'!#REF!</definedName>
    <definedName name="_PK1">'[1]SW-TEO'!#REF!</definedName>
    <definedName name="_PK3">'[1]SW-TEO'!#REF!</definedName>
    <definedName name="aiu_bottom" localSheetId="0">'[5]Financ. Overview'!#REF!</definedName>
    <definedName name="dss" localSheetId="0" hidden="1">#REF!</definedName>
    <definedName name="FRC">[6]Main!$C$9</definedName>
    <definedName name="hostfee">'[5]Financ. Overview'!$H$12</definedName>
    <definedName name="hraiu_bottom" localSheetId="0">'[5]Financ. Overview'!#REF!</definedName>
    <definedName name="hvac" localSheetId="0">'[5]Financ. Overview'!#REF!</definedName>
    <definedName name="HWSheet">1</definedName>
    <definedName name="Module.Prix_SMC" localSheetId="0">' 2021年全市财政支出预算支出表'!Module.Prix_SMC</definedName>
    <definedName name="OS" localSheetId="0">[7]Open!#REF!</definedName>
    <definedName name="________PA7" localSheetId="0">'[1]SW-TEO'!#REF!</definedName>
    <definedName name="________PA8" localSheetId="0">'[1]SW-TEO'!#REF!</definedName>
    <definedName name="________PD1" localSheetId="0">'[1]SW-TEO'!#REF!</definedName>
    <definedName name="________PE12" localSheetId="0">'[1]SW-TEO'!#REF!</definedName>
    <definedName name="________PE13" localSheetId="0">'[1]SW-TEO'!#REF!</definedName>
    <definedName name="________PE6" localSheetId="0">'[1]SW-TEO'!#REF!</definedName>
    <definedName name="________PE7" localSheetId="0">'[1]SW-TEO'!#REF!</definedName>
    <definedName name="________PE8" localSheetId="0">'[1]SW-TEO'!#REF!</definedName>
    <definedName name="________PE9" localSheetId="0">'[1]SW-TEO'!#REF!</definedName>
    <definedName name="________PH1" localSheetId="0">'[1]SW-TEO'!#REF!</definedName>
    <definedName name="________PI1" localSheetId="0">'[1]SW-TEO'!#REF!</definedName>
    <definedName name="________PK1" localSheetId="0">'[1]SW-TEO'!#REF!</definedName>
    <definedName name="________PK3" localSheetId="0">'[1]SW-TEO'!#REF!</definedName>
    <definedName name="pr_toolbox">[5]Toolbox!$A$3:$I$80</definedName>
    <definedName name="_xlnm.Print_Area" localSheetId="0">' 2021年全市财政支出预算支出表'!$A$1:$G$223</definedName>
    <definedName name="_xlnm.Print_Titles" localSheetId="0">' 2021年全市财政支出预算支出表'!$1:$5</definedName>
    <definedName name="Prix_SMC" localSheetId="0">' 2021年全市财政支出预算支出表'!Prix_SMC</definedName>
    <definedName name="qwe">#N/A</definedName>
    <definedName name="s_c_list">[8]Toolbox!$A$7:$H$969</definedName>
    <definedName name="SCG" localSheetId="0">'[9]G.1R-Shou COP Gf'!#REF!</definedName>
    <definedName name="sdlfee">'[5]Financ. Overview'!$H$13</definedName>
    <definedName name="solar_ratio">'[10]POWER ASSUMPTIONS'!$H$7</definedName>
    <definedName name="ss7fee">'[5]Financ. Overview'!$H$18</definedName>
    <definedName name="subsfee">'[5]Financ. Overview'!$H$14</definedName>
    <definedName name="toolbox">[11]Toolbox!$C$5:$T$1578</definedName>
    <definedName name="V5.1Fee">'[5]Financ. Overview'!$H$15</definedName>
    <definedName name="wqe">#N/A</definedName>
    <definedName name="Z32_Cost_red" localSheetId="0">'[5]Financ. Overview'!#REF!</definedName>
    <definedName name="字段d074001.N.15.2">#REF!</definedName>
    <definedName name="字段d074002.N.15.2">#REF!</definedName>
    <definedName name="字段d074003.N.15.2">#REF!</definedName>
    <definedName name="字段d074004.N.15.2">#REF!</definedName>
    <definedName name="字段d074005.N.15.2">#REF!</definedName>
    <definedName name="字段d074006.N.15.2">#REF!</definedName>
    <definedName name="字段本级分配.N.20.2">#REF!</definedName>
    <definedName name="字段拨款金额.N.16.2" localSheetId="0">[12]专款分县区!#REF!</definedName>
    <definedName name="字段待分配.B.8.2">#REF!</definedName>
    <definedName name="字段科目代码.C.50" localSheetId="0">[13]社保!#REF!</definedName>
    <definedName name="字段科目名称.C.80">#REF!</definedName>
    <definedName name="字段来源文件.C.30">#REF!</definedName>
    <definedName name="字段审批文件.C.30">#REF!</definedName>
    <definedName name="字段未拨金额.N.16.2" localSheetId="0">[12]专款分县区!#REF!</definedName>
    <definedName name="字段文件日期.T.8">#REF!</definedName>
    <definedName name="字段下级分配.N.20.2">#REF!</definedName>
    <definedName name="字段项目名称.C.100" localSheetId="0">[12]专款分县区!#REF!</definedName>
    <definedName name="字段预算单位.C.30" localSheetId="0">[12]专款分县区!#REF!</definedName>
    <definedName name="字段预算科目.C.7">#REF!</definedName>
    <definedName name="字段预算指标.N.20.2">#REF!</definedName>
    <definedName name="字段资金性质.C.10" localSheetId="0">[12]专款分县区!#REF!</definedName>
  </definedNames>
  <calcPr calcId="144525" fullCalcOnLoad="1"/>
</workbook>
</file>

<file path=xl/comments1.xml><?xml version="1.0" encoding="utf-8"?>
<comments xmlns="http://schemas.openxmlformats.org/spreadsheetml/2006/main">
  <authors>
    <author>李欢</author>
  </authors>
  <commentList>
    <comment ref="A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2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2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3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3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4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4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4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5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5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6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6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6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7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7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7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8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8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9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9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1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1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1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1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1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1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1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11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1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1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13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1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14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1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1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9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9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9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20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2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2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20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2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2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20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<sst xmlns="http://schemas.openxmlformats.org/spreadsheetml/2006/main" count="230" uniqueCount="227">
  <si>
    <t>阳泉市二〇二一年一般公共预算支出</t>
  </si>
  <si>
    <t>单位：万元</t>
  </si>
  <si>
    <t>支出项目</t>
  </si>
  <si>
    <t>2020年年初预算</t>
  </si>
  <si>
    <t>2021年预算</t>
  </si>
  <si>
    <t>同口径为  上年预算%</t>
  </si>
  <si>
    <t>备注</t>
  </si>
  <si>
    <t>小计</t>
  </si>
  <si>
    <t>其中:本级财力安排</t>
  </si>
  <si>
    <t>一、一般公共服务</t>
  </si>
  <si>
    <t xml:space="preserve">    人大事务</t>
  </si>
  <si>
    <t xml:space="preserve">    政协事务</t>
  </si>
  <si>
    <t xml:space="preserve">    政府办公厅(室)及相关机构事务</t>
  </si>
  <si>
    <t xml:space="preserve">    发展与改革事务</t>
  </si>
  <si>
    <t xml:space="preserve">    统计信息事务</t>
  </si>
  <si>
    <t xml:space="preserve">    财政事务</t>
  </si>
  <si>
    <t xml:space="preserve">    税收事务</t>
  </si>
  <si>
    <t xml:space="preserve">    审计事务</t>
  </si>
  <si>
    <t xml:space="preserve">    海关事务</t>
  </si>
  <si>
    <t xml:space="preserve">    人力资源事务</t>
  </si>
  <si>
    <t xml:space="preserve">    纪检监察事务</t>
  </si>
  <si>
    <t xml:space="preserve">    商贸事务</t>
  </si>
  <si>
    <t xml:space="preserve">    知识产权事务</t>
  </si>
  <si>
    <t xml:space="preserve">    民族事务</t>
  </si>
  <si>
    <t xml:space="preserve">    港澳台事务</t>
  </si>
  <si>
    <t xml:space="preserve">    档案事务</t>
  </si>
  <si>
    <t xml:space="preserve">    民主党派及工商联事务</t>
  </si>
  <si>
    <t xml:space="preserve">    群众团体事务</t>
  </si>
  <si>
    <t xml:space="preserve">    党委办公厅（室）及相关机构事务</t>
  </si>
  <si>
    <t xml:space="preserve">    组织事务</t>
  </si>
  <si>
    <t xml:space="preserve">    宣传事务</t>
  </si>
  <si>
    <t xml:space="preserve">    统战事务</t>
  </si>
  <si>
    <t xml:space="preserve"> </t>
  </si>
  <si>
    <t xml:space="preserve">    对外联络事务</t>
  </si>
  <si>
    <t xml:space="preserve">    其他共产党事务支出</t>
  </si>
  <si>
    <t xml:space="preserve">    网信事务</t>
  </si>
  <si>
    <t xml:space="preserve">    市场监督管理事务</t>
  </si>
  <si>
    <t xml:space="preserve">    其他一般公共服务支出</t>
  </si>
  <si>
    <t>二、外交支出</t>
  </si>
  <si>
    <t xml:space="preserve">    对外合作与交流</t>
  </si>
  <si>
    <r>
      <t xml:space="preserve"> </t>
    </r>
    <r>
      <rPr>
        <sz val="11"/>
        <rFont val="宋体"/>
        <charset val="134"/>
      </rPr>
      <t xml:space="preserve">   外交管理事务</t>
    </r>
  </si>
  <si>
    <r>
      <t xml:space="preserve"> </t>
    </r>
    <r>
      <rPr>
        <sz val="11"/>
        <rFont val="宋体"/>
        <charset val="134"/>
      </rPr>
      <t xml:space="preserve">   国际发展合作</t>
    </r>
  </si>
  <si>
    <t xml:space="preserve">    其他外交支出</t>
  </si>
  <si>
    <t>二、国防支出</t>
  </si>
  <si>
    <t xml:space="preserve">    国防动员</t>
  </si>
  <si>
    <t xml:space="preserve">    其他国防支出</t>
  </si>
  <si>
    <t>三、公共安全支出</t>
  </si>
  <si>
    <t xml:space="preserve">    武装警察部队</t>
  </si>
  <si>
    <t xml:space="preserve">    公安</t>
  </si>
  <si>
    <t xml:space="preserve">    国家安全</t>
  </si>
  <si>
    <t xml:space="preserve">    检察</t>
  </si>
  <si>
    <t xml:space="preserve">    法院</t>
  </si>
  <si>
    <t xml:space="preserve">    司法</t>
  </si>
  <si>
    <t xml:space="preserve">    监狱</t>
  </si>
  <si>
    <t xml:space="preserve">    强制隔离戒毒</t>
  </si>
  <si>
    <t xml:space="preserve">    国家保密</t>
  </si>
  <si>
    <t xml:space="preserve">    缉私警察</t>
  </si>
  <si>
    <t xml:space="preserve">    其他公共安全支出</t>
  </si>
  <si>
    <t>四、教育支出</t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</si>
  <si>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</si>
  <si>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</si>
  <si>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</si>
  <si>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</si>
  <si>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</si>
  <si>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</si>
  <si>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</si>
  <si>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</si>
  <si>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</si>
  <si>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</si>
  <si>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>五、科学技术支出</t>
  </si>
  <si>
    <t xml:space="preserve">    科学技术管理事务</t>
  </si>
  <si>
    <t xml:space="preserve">    基础研究</t>
  </si>
  <si>
    <t xml:space="preserve">    应用研究</t>
  </si>
  <si>
    <t xml:space="preserve">    技术研究与开发</t>
  </si>
  <si>
    <t xml:space="preserve">    科技条件与服务</t>
  </si>
  <si>
    <t xml:space="preserve">    社会科学</t>
  </si>
  <si>
    <t xml:space="preserve">    科学技术普及</t>
  </si>
  <si>
    <t xml:space="preserve">    科技交流与合作</t>
  </si>
  <si>
    <t xml:space="preserve">    科技重大项目</t>
  </si>
  <si>
    <t xml:space="preserve">    其他科学技术支出</t>
  </si>
  <si>
    <t>六、文化旅游体育与传媒支出</t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</si>
  <si>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</si>
  <si>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</si>
  <si>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</si>
  <si>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</si>
  <si>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</si>
  <si>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其他文化体育与传媒支出</t>
  </si>
  <si>
    <t>七、社会保障和就业支出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</si>
  <si>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</si>
  <si>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</si>
  <si>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</si>
  <si>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行政事业单位离退休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</si>
  <si>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</si>
  <si>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</si>
  <si>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</si>
  <si>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</si>
  <si>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</si>
  <si>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残疾人事业</t>
  </si>
  <si>
    <t xml:space="preserve">    红十字事业</t>
  </si>
  <si>
    <t xml:space="preserve">    最低生活保障</t>
  </si>
  <si>
    <t xml:space="preserve">    临时救助</t>
  </si>
  <si>
    <t xml:space="preserve">    特困人员救助供养</t>
  </si>
  <si>
    <t xml:space="preserve">    补充道路交通事故社会救助基金</t>
  </si>
  <si>
    <t xml:space="preserve">    其他生活救助</t>
  </si>
  <si>
    <t xml:space="preserve">    财政对基本养老保险基金的补助</t>
  </si>
  <si>
    <t xml:space="preserve">    财政对其他社会保险基金的补助</t>
  </si>
  <si>
    <t xml:space="preserve">    退役军人管理事务</t>
  </si>
  <si>
    <t xml:space="preserve">    其他社会保障和就业支出</t>
  </si>
  <si>
    <t>八、卫生健康支出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</si>
  <si>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</si>
  <si>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</si>
  <si>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</si>
  <si>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</si>
  <si>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</si>
  <si>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</si>
  <si>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</si>
  <si>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</si>
  <si>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</si>
  <si>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</si>
  <si>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</si>
  <si>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老龄卫生健康服务</t>
  </si>
  <si>
    <t xml:space="preserve">    其他卫生健康支出</t>
  </si>
  <si>
    <t>九、节能环保支出</t>
  </si>
  <si>
    <t xml:space="preserve">    环境保护管理事务</t>
  </si>
  <si>
    <t xml:space="preserve">    环境监测与监察</t>
  </si>
  <si>
    <t xml:space="preserve">    污染防治</t>
  </si>
  <si>
    <t xml:space="preserve">    自然生态保护</t>
  </si>
  <si>
    <t xml:space="preserve">    天然林保护</t>
  </si>
  <si>
    <t xml:space="preserve">    退耕还林</t>
  </si>
  <si>
    <t xml:space="preserve">    风沙荒漠治理</t>
  </si>
  <si>
    <t xml:space="preserve">    退牧还草</t>
  </si>
  <si>
    <t xml:space="preserve">    已垦草原退耕还草</t>
  </si>
  <si>
    <t xml:space="preserve">    能源节约利用</t>
  </si>
  <si>
    <t xml:space="preserve">    污染减排</t>
  </si>
  <si>
    <t xml:space="preserve">    可再生能源</t>
  </si>
  <si>
    <t xml:space="preserve">    循环经济</t>
  </si>
  <si>
    <t xml:space="preserve">    能源管理事务</t>
  </si>
  <si>
    <t xml:space="preserve">    其他节能环保支出</t>
  </si>
  <si>
    <t>十、城乡社区支出</t>
  </si>
  <si>
    <t xml:space="preserve">      城乡社区管理事务</t>
  </si>
  <si>
    <t xml:space="preserve">      城乡社区规划与管理</t>
  </si>
  <si>
    <t xml:space="preserve">      城乡社区公共设施</t>
  </si>
  <si>
    <t xml:space="preserve">      城乡社区环境卫生</t>
  </si>
  <si>
    <t xml:space="preserve">      建设市场管理与监督</t>
  </si>
  <si>
    <t xml:space="preserve">      其他城乡社区支出</t>
  </si>
  <si>
    <t>十一、农林水支出</t>
  </si>
  <si>
    <t xml:space="preserve">      农业</t>
  </si>
  <si>
    <t xml:space="preserve">      林业和草原</t>
  </si>
  <si>
    <t xml:space="preserve">      水利</t>
  </si>
  <si>
    <t xml:space="preserve">      南水北调</t>
  </si>
  <si>
    <t xml:space="preserve">      扶贫</t>
  </si>
  <si>
    <t xml:space="preserve">      农业综合开发</t>
  </si>
  <si>
    <t xml:space="preserve">      农村综合改革</t>
  </si>
  <si>
    <t xml:space="preserve">      普惠金融发展支出</t>
  </si>
  <si>
    <t xml:space="preserve">      目标价格补贴</t>
  </si>
  <si>
    <t xml:space="preserve">      其他农林水支出</t>
  </si>
  <si>
    <t>十二、交通运输支出</t>
  </si>
  <si>
    <t xml:space="preserve">      公路水路运输</t>
  </si>
  <si>
    <t xml:space="preserve">      铁路运输</t>
  </si>
  <si>
    <t xml:space="preserve">      民用航空运输</t>
  </si>
  <si>
    <t xml:space="preserve">      成品油价格改革对交通运输的补贴</t>
  </si>
  <si>
    <t xml:space="preserve">      邮政业支出</t>
  </si>
  <si>
    <t xml:space="preserve">      车辆购置税支出</t>
  </si>
  <si>
    <t xml:space="preserve">      其他交通运输支出</t>
  </si>
  <si>
    <t>十三、资源勘探信息等支出</t>
  </si>
  <si>
    <t xml:space="preserve">      资源勘探开发</t>
  </si>
  <si>
    <t xml:space="preserve">      制造业</t>
  </si>
  <si>
    <t xml:space="preserve">      建筑业</t>
  </si>
  <si>
    <t xml:space="preserve">      工业和信息产业监管</t>
  </si>
  <si>
    <t xml:space="preserve">      国有资产监管</t>
  </si>
  <si>
    <t xml:space="preserve">      支持中小企业发展和管理支出</t>
  </si>
  <si>
    <t xml:space="preserve">      其他资源勘探信息等支出</t>
  </si>
  <si>
    <t>十四、商业服务业等支出</t>
  </si>
  <si>
    <t xml:space="preserve">      商业流通事务</t>
  </si>
  <si>
    <t xml:space="preserve">      涉外发展服务支出</t>
  </si>
  <si>
    <t xml:space="preserve">      其他商业服务业等支出</t>
  </si>
  <si>
    <t>十五、金融支出</t>
  </si>
  <si>
    <t xml:space="preserve">      金融部门行政支出</t>
  </si>
  <si>
    <t xml:space="preserve">      金融发展支出</t>
  </si>
  <si>
    <t xml:space="preserve">      其他金融支出</t>
  </si>
  <si>
    <t>十六、援助其他地区支出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</si>
  <si>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</si>
  <si>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</si>
  <si>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</si>
  <si>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</si>
  <si>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</si>
  <si>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</si>
  <si>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</si>
  <si>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</si>
  <si>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十六、自然资源海洋气象等支出</t>
  </si>
  <si>
    <t xml:space="preserve">      自然资源事务</t>
  </si>
  <si>
    <t xml:space="preserve">      海洋管理事务</t>
  </si>
  <si>
    <t xml:space="preserve">      测绘事务</t>
  </si>
  <si>
    <t xml:space="preserve">      气象事务</t>
  </si>
  <si>
    <t xml:space="preserve">      其他自然资源海洋气象等支出</t>
  </si>
  <si>
    <t>十七、住房保障支出</t>
  </si>
  <si>
    <t xml:space="preserve">      保障性安居工程支出</t>
  </si>
  <si>
    <t xml:space="preserve">      住房改革支出</t>
  </si>
  <si>
    <t xml:space="preserve">      城乡社区住宅</t>
  </si>
  <si>
    <t>十八、粮油物资储备支出</t>
  </si>
  <si>
    <t xml:space="preserve">      粮油事务</t>
  </si>
  <si>
    <t xml:space="preserve">      物资事务</t>
  </si>
  <si>
    <t xml:space="preserve">      能源储备</t>
  </si>
  <si>
    <t xml:space="preserve">      粮油储备</t>
  </si>
  <si>
    <t xml:space="preserve">      重要商品储备</t>
  </si>
  <si>
    <t>十九、灾害防治及应急管理支出</t>
  </si>
  <si>
    <t xml:space="preserve">     应急管理事务</t>
  </si>
  <si>
    <t xml:space="preserve">     消防事务</t>
  </si>
  <si>
    <t xml:space="preserve">     森林消防事务</t>
  </si>
  <si>
    <t xml:space="preserve">     煤矿安全</t>
  </si>
  <si>
    <t xml:space="preserve">     地震事务</t>
  </si>
  <si>
    <t xml:space="preserve">     自然灾害防治</t>
  </si>
  <si>
    <t xml:space="preserve">     自然灾害救灾及恢复重建支出</t>
  </si>
  <si>
    <t xml:space="preserve">     其他灾害防治及应急管理支出</t>
  </si>
  <si>
    <t>二十、预备费</t>
  </si>
  <si>
    <t>二十一、债务还本支出</t>
  </si>
  <si>
    <t xml:space="preserve">      地方政府一般债务还本支出</t>
  </si>
  <si>
    <t>二十二、债务付息支出</t>
  </si>
  <si>
    <t xml:space="preserve">      地方政府一般债务付息支出</t>
  </si>
  <si>
    <t>二十三、债务发行费用支出</t>
  </si>
  <si>
    <t xml:space="preserve">      地方政府一般债务发行费用支出</t>
  </si>
  <si>
    <t>二十四、其他支出</t>
  </si>
  <si>
    <t>一般公共预算支出合计</t>
  </si>
  <si>
    <t xml:space="preserve">    上解省级支出</t>
  </si>
  <si>
    <t xml:space="preserve">    地方政府债券还本</t>
  </si>
  <si>
    <t xml:space="preserve">    待偿债专项债券置换上年结余安排支出</t>
  </si>
  <si>
    <t>一般公共预算支出总计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</si>
</sst>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* #,##0_ ;_ * \-#,##0_ ;_ * &quot;-&quot;??_ ;_ @_ "/>
    <numFmt numFmtId="177" formatCode="#,##0_ "/>
    <numFmt numFmtId="178" formatCode="0_ "/>
    <numFmt numFmtId="179" formatCode="0.0_ "/>
  </numFmts>
  <fonts count="31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7" borderId="11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21" borderId="13" applyNumberFormat="0" applyAlignment="0" applyProtection="0">
      <alignment vertical="center"/>
    </xf>
    <xf numFmtId="0" fontId="14" fillId="21" borderId="12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177" fontId="0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horizontal="centerContinuous" vertical="center" wrapText="1"/>
    </xf>
    <xf numFmtId="177" fontId="1" fillId="0" borderId="0" xfId="0" applyNumberFormat="1" applyFont="1" applyFill="1" applyAlignment="1">
      <alignment horizontal="centerContinuous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Continuous" vertical="center" wrapText="1"/>
    </xf>
    <xf numFmtId="177" fontId="0" fillId="0" borderId="3" xfId="0" applyNumberFormat="1" applyFont="1" applyFill="1" applyBorder="1" applyAlignment="1">
      <alignment horizontal="centerContinuous" vertical="center" wrapText="1"/>
    </xf>
    <xf numFmtId="177" fontId="0" fillId="0" borderId="2" xfId="0" applyNumberFormat="1" applyFill="1" applyBorder="1" applyAlignment="1">
      <alignment horizontal="centerContinuous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Font="1" applyFill="1" applyBorder="1" applyAlignment="1">
      <alignment horizontal="center" vertical="center" wrapText="1"/>
    </xf>
    <xf numFmtId="177" fontId="0" fillId="0" borderId="4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/>
    </xf>
    <xf numFmtId="176" fontId="0" fillId="0" borderId="8" xfId="8" applyNumberFormat="1" applyFont="1" applyFill="1" applyBorder="1" applyAlignment="1">
      <alignment vertical="center" wrapText="1"/>
    </xf>
    <xf numFmtId="176" fontId="0" fillId="0" borderId="8" xfId="8" applyNumberFormat="1" applyFont="1" applyFill="1" applyBorder="1" applyAlignment="1">
      <alignment horizontal="right" vertical="center" wrapText="1"/>
    </xf>
    <xf numFmtId="10" fontId="0" fillId="0" borderId="8" xfId="0" applyNumberFormat="1" applyFont="1" applyFill="1" applyBorder="1" applyAlignment="1">
      <alignment horizontal="right" vertical="center" wrapText="1"/>
    </xf>
    <xf numFmtId="0" fontId="0" fillId="0" borderId="8" xfId="0" applyFont="1" applyFill="1" applyBorder="1" applyAlignment="1">
      <alignment horizontal="centerContinuous" vertical="top" wrapText="1"/>
    </xf>
    <xf numFmtId="178" fontId="4" fillId="0" borderId="8" xfId="0" applyNumberFormat="1" applyFont="1" applyFill="1" applyBorder="1" applyAlignment="1" applyProtection="1">
      <alignment horizontal="left" vertical="center"/>
      <protection locked="0"/>
    </xf>
    <xf numFmtId="176" fontId="0" fillId="0" borderId="9" xfId="8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Alignment="1">
      <alignment vertical="center" wrapText="1"/>
    </xf>
    <xf numFmtId="176" fontId="2" fillId="0" borderId="8" xfId="8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Continuous" vertical="top" wrapText="1"/>
    </xf>
    <xf numFmtId="179" fontId="4" fillId="0" borderId="8" xfId="0" applyNumberFormat="1" applyFont="1" applyFill="1" applyBorder="1" applyAlignment="1" applyProtection="1">
      <alignment horizontal="left" vertical="center"/>
      <protection locked="0"/>
    </xf>
    <xf numFmtId="177" fontId="2" fillId="0" borderId="8" xfId="0" applyNumberFormat="1" applyFont="1" applyFill="1" applyBorder="1" applyAlignment="1">
      <alignment horizontal="centerContinuous" vertical="top" wrapText="1"/>
    </xf>
    <xf numFmtId="178" fontId="4" fillId="0" borderId="6" xfId="0" applyNumberFormat="1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178" fontId="4" fillId="2" borderId="8" xfId="0" applyNumberFormat="1" applyFont="1" applyFill="1" applyBorder="1" applyAlignment="1" applyProtection="1">
      <alignment horizontal="left" vertical="center"/>
      <protection locked="0"/>
    </xf>
    <xf numFmtId="176" fontId="2" fillId="2" borderId="8" xfId="8" applyNumberFormat="1" applyFont="1" applyFill="1" applyBorder="1" applyAlignment="1">
      <alignment vertical="center" wrapText="1"/>
    </xf>
    <xf numFmtId="176" fontId="0" fillId="2" borderId="8" xfId="8" applyNumberFormat="1" applyFont="1" applyFill="1" applyBorder="1" applyAlignment="1">
      <alignment horizontal="right" vertical="center" wrapText="1"/>
    </xf>
    <xf numFmtId="10" fontId="0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/>
    </xf>
    <xf numFmtId="176" fontId="0" fillId="2" borderId="8" xfId="8" applyNumberFormat="1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176" fontId="6" fillId="0" borderId="8" xfId="8" applyNumberFormat="1" applyFont="1" applyFill="1" applyBorder="1" applyAlignment="1">
      <alignment vertical="center" wrapText="1"/>
    </xf>
    <xf numFmtId="10" fontId="6" fillId="0" borderId="8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9044;&#31639;&#31185;&#25991;&#20214;&#36164;&#26009;\2016&#24180;&#39044;&#31639;&#36164;&#26009;\2016&#24180;&#39044;&#31639;&#32534;&#21046;&#36164;&#26009;\&#20154;&#20195;&#20250;3.11\2015&#24180;&#20154;&#20195;&#20250;&#36164;&#26009;&#34920;&#65288;&#33609;&#26696;&#65289;4.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6947;&#36335;&#31649;&#29702;&#22788;&#25991;&#20214;\&#23450;&#31295;\5&#26376;\Documents and Settings\Administrator\&#26700;&#38754;\Book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9044;&#31639;&#31185;&#25991;&#20214;&#36164;&#26009;\2016&#24180;&#39044;&#31639;&#36164;&#26009;\2016&#24180;&#39044;&#31639;&#32534;&#21046;&#36164;&#26009;\&#20154;&#20195;&#20250;3.11\POWER ASSUMPTION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&#38889;&#21355;&#33521;\yskhwy2013&#24180;&#36164;&#26009;\&#25552;&#21069;&#21578;&#30693;&#19968;&#33324;&#19987;&#274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39044;&#31639;&#31185;&#25991;&#20214;&#36164;&#26009;\2019&#24180;&#25991;&#20214;&#36164;&#26009;\&#20154;&#20195;&#20250;&#36164;&#26009;\2018\2018&#24180;&#37096;&#38376;&#39044;&#31639;&#32534;&#21046;\&#20154;&#20195;&#20250;\2012&#24180;10&#26376;&#20221;&#31185;&#23460;&#39044;&#31639;&#25191;&#348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、 2014年财政收入完成情况表"/>
      <sheetName val="2、 财政支出执行情况表"/>
      <sheetName val="3、 2014年市本级财政收入完成情况表"/>
      <sheetName val="4、 市本级财政支出执行情况表"/>
      <sheetName val="5、 2014年市本级政府性基金收入完成情况表"/>
      <sheetName val="6、 2014年市本级政府性基金支出执行情况表"/>
      <sheetName val="7、 2014年市本级国有资本经营预算收支情况表"/>
      <sheetName val="8、 2014年市本级社会保险基金预算收支情况表"/>
      <sheetName val="9、2015年全市财政收入预算表"/>
      <sheetName val="10、 2015年全市财政支出预算支出表 "/>
      <sheetName val="11、2015年市级财政收入草案"/>
      <sheetName val="12、 市本级2015年一般公共预算支出  "/>
      <sheetName val="13、 市本级一般公共预算收支平衡表"/>
      <sheetName val="14 、市本级2015年一般公共预算支出分经济科目"/>
      <sheetName val="15 、市本级2015年一般公共预算基本支出分经济科目"/>
      <sheetName val="16、按部门 "/>
      <sheetName val="17、 2015年一般公共预算专项转移支付"/>
      <sheetName val="18、 2015年市本级政府性基金预算收入"/>
      <sheetName val="19 、2015年市本级政府性基金预算支出"/>
      <sheetName val="20、重点"/>
      <sheetName val="21、部门预算支出表"/>
      <sheetName val="22、部门单位情况表"/>
      <sheetName val="23、举债"/>
      <sheetName val="24、 市本级国有资本经营预算收支"/>
      <sheetName val="25、阳泉市社保基金预算收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社保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（追加预算+项目预留执行）原稿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16、按部门"/>
      <sheetName val="Financ. Overview"/>
      <sheetName val="Toolbox"/>
      <sheetName val="社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社保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eqpmad2"/>
      <sheetName val="社保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专款分县区"/>
      <sheetName val="POWER ASSUMPTION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专款分县区"/>
      <sheetName val="专款万元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留"/>
      <sheetName val="副市长"/>
      <sheetName val="重点项目明细"/>
      <sheetName val="分科室"/>
      <sheetName val="城建"/>
      <sheetName val="经建科"/>
      <sheetName val="农业"/>
      <sheetName val="企业科"/>
      <sheetName val="社保"/>
      <sheetName val="政法"/>
      <sheetName val="文教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226"/>
  <sheetViews>
    <sheetView showZeros="0" tabSelected="1" workbookViewId="0">
      <pane ySplit="5" topLeftCell="A214" activePane="bottomLeft" state="frozen"/>
      <selection/>
      <selection pane="bottomLeft" activeCell="E229" sqref="E229"/>
    </sheetView>
  </sheetViews>
  <sheetFormatPr defaultColWidth="19.875" defaultRowHeight="44.25" customHeight="1"/>
  <cols>
    <col min="1" max="1" width="39.875" style="5" customWidth="1"/>
    <col min="2" max="2" width="18.25" style="6"/>
    <col min="3" max="3" width="11.25" style="6" customWidth="1"/>
    <col min="4" max="4" width="13.625" style="6" customWidth="1"/>
    <col min="5" max="5" width="13.875" style="6" customWidth="1"/>
    <col min="6" max="6" width="11.625" style="6" customWidth="1"/>
    <col min="7" max="7" width="19.875" style="5" customWidth="1"/>
    <col min="8" max="16384" width="19.875" style="5"/>
  </cols>
  <sheetData>
    <row r="1" s="1" customFormat="1" ht="24.75" customHeight="1" spans="1:7">
      <c r="A1" s="7" t="s">
        <v>0</v>
      </c>
      <c r="B1" s="8"/>
      <c r="C1" s="8"/>
      <c r="D1" s="8"/>
      <c r="E1" s="8"/>
      <c r="F1" s="8"/>
      <c r="G1" s="7"/>
    </row>
    <row r="2" ht="18" customHeight="1" spans="7:7">
      <c r="G2" s="9" t="s">
        <v>1</v>
      </c>
    </row>
    <row r="3" ht="22.5" customHeight="1" spans="1:7">
      <c r="A3" s="10" t="s">
        <v>2</v>
      </c>
      <c r="B3" s="11" t="s">
        <v>3</v>
      </c>
      <c r="C3" s="12"/>
      <c r="D3" s="13" t="s">
        <v>4</v>
      </c>
      <c r="E3" s="12"/>
      <c r="F3" s="14" t="s">
        <v>5</v>
      </c>
      <c r="G3" s="10" t="s">
        <v>6</v>
      </c>
    </row>
    <row r="4" ht="15" customHeight="1" spans="1:7">
      <c r="A4" s="15"/>
      <c r="B4" s="16" t="s">
        <v>7</v>
      </c>
      <c r="C4" s="17" t="s">
        <v>8</v>
      </c>
      <c r="D4" s="16" t="s">
        <v>7</v>
      </c>
      <c r="E4" s="17" t="s">
        <v>8</v>
      </c>
      <c r="F4" s="18"/>
      <c r="G4" s="15"/>
    </row>
    <row r="5" ht="21" customHeight="1" spans="1:7">
      <c r="A5" s="19"/>
      <c r="B5" s="20"/>
      <c r="C5" s="21"/>
      <c r="D5" s="20"/>
      <c r="E5" s="21"/>
      <c r="F5" s="20"/>
      <c r="G5" s="19"/>
    </row>
    <row r="6" ht="17.85" customHeight="1" spans="1:7">
      <c r="A6" s="22" t="s">
        <v>9</v>
      </c>
      <c r="B6" s="23">
        <v>143474</v>
      </c>
      <c r="C6" s="23">
        <v>139759</v>
      </c>
      <c r="D6" s="24">
        <f>D7+D8+D9+D10+D11+D12+D13+D14+D15+D16+D17+D18+D20+D21+D22+D23+D24+D25+D26+D27+D28+D30+D31+D32+D33</f>
        <v>150016</v>
      </c>
      <c r="E6" s="24">
        <f>E7+E8+E9+E10+E11+E12+E13+E14+E15+E16+E17+E18+E20+E21+E22+E23+E24+E25+E26+E27+E28+E30+E31+E32+E33</f>
        <v>149236</v>
      </c>
      <c r="F6" s="25">
        <f>IF(B6&lt;&gt;0,D6/B6,0)</f>
        <v>1.0455971116718</v>
      </c>
      <c r="G6" s="26"/>
    </row>
    <row r="7" ht="17.85" customHeight="1" spans="1:7">
      <c r="A7" s="27" t="s">
        <v>10</v>
      </c>
      <c r="B7" s="23">
        <v>3114</v>
      </c>
      <c r="C7" s="23">
        <v>3114</v>
      </c>
      <c r="D7" s="24">
        <f>3173+10</f>
        <v>3183</v>
      </c>
      <c r="E7" s="24">
        <f>3173+10</f>
        <v>3183</v>
      </c>
      <c r="F7" s="25"/>
      <c r="G7" s="26"/>
    </row>
    <row r="8" ht="17.85" customHeight="1" spans="1:8">
      <c r="A8" s="27" t="s">
        <v>11</v>
      </c>
      <c r="B8" s="23">
        <v>2138</v>
      </c>
      <c r="C8" s="23">
        <v>2138</v>
      </c>
      <c r="D8" s="24">
        <f>1949-12</f>
        <v>1937</v>
      </c>
      <c r="E8" s="28">
        <f>1949-12</f>
        <v>1937</v>
      </c>
      <c r="F8" s="25"/>
      <c r="G8" s="26"/>
      <c r="H8" s="29"/>
    </row>
    <row r="9" ht="17.85" customHeight="1" spans="1:7">
      <c r="A9" s="27" t="s">
        <v>12</v>
      </c>
      <c r="B9" s="23">
        <v>34559</v>
      </c>
      <c r="C9" s="23">
        <v>32993</v>
      </c>
      <c r="D9" s="24">
        <f>42625+118</f>
        <v>42743</v>
      </c>
      <c r="E9" s="24">
        <f>42625+118</f>
        <v>42743</v>
      </c>
      <c r="F9" s="25"/>
      <c r="G9" s="26"/>
    </row>
    <row r="10" s="2" customFormat="1" ht="17.85" customHeight="1" spans="1:7">
      <c r="A10" s="27" t="s">
        <v>13</v>
      </c>
      <c r="B10" s="30">
        <v>3230</v>
      </c>
      <c r="C10" s="30">
        <v>3230</v>
      </c>
      <c r="D10" s="24">
        <v>3196</v>
      </c>
      <c r="E10" s="24">
        <v>3196</v>
      </c>
      <c r="F10" s="25"/>
      <c r="G10" s="31"/>
    </row>
    <row r="11" s="2" customFormat="1" ht="17.85" customHeight="1" spans="1:7">
      <c r="A11" s="32" t="s">
        <v>14</v>
      </c>
      <c r="B11" s="30">
        <v>5331</v>
      </c>
      <c r="C11" s="30">
        <v>5331</v>
      </c>
      <c r="D11" s="24">
        <f>9530+48</f>
        <v>9578</v>
      </c>
      <c r="E11" s="24">
        <f>9530+48</f>
        <v>9578</v>
      </c>
      <c r="F11" s="25"/>
      <c r="G11" s="33"/>
    </row>
    <row r="12" s="2" customFormat="1" ht="17.85" customHeight="1" spans="1:7">
      <c r="A12" s="34" t="s">
        <v>15</v>
      </c>
      <c r="B12" s="30">
        <v>7329</v>
      </c>
      <c r="C12" s="30">
        <v>7279</v>
      </c>
      <c r="D12" s="24">
        <f>8233-30</f>
        <v>8203</v>
      </c>
      <c r="E12" s="24">
        <f>8233-30</f>
        <v>8203</v>
      </c>
      <c r="F12" s="25"/>
      <c r="G12" s="35"/>
    </row>
    <row r="13" s="2" customFormat="1" ht="17.85" customHeight="1" spans="1:7">
      <c r="A13" s="27" t="s">
        <v>16</v>
      </c>
      <c r="B13" s="30">
        <v>6162</v>
      </c>
      <c r="C13" s="30">
        <v>6162</v>
      </c>
      <c r="D13" s="24">
        <v>5694</v>
      </c>
      <c r="E13" s="24">
        <v>5694</v>
      </c>
      <c r="F13" s="25"/>
      <c r="G13" s="35"/>
    </row>
    <row r="14" s="3" customFormat="1" ht="17.85" customHeight="1" spans="1:7">
      <c r="A14" s="32" t="s">
        <v>17</v>
      </c>
      <c r="B14" s="30">
        <v>2699</v>
      </c>
      <c r="C14" s="30">
        <v>2699</v>
      </c>
      <c r="D14" s="24">
        <v>2461</v>
      </c>
      <c r="E14" s="24">
        <v>2461</v>
      </c>
      <c r="F14" s="25"/>
      <c r="G14" s="36"/>
    </row>
    <row r="15" s="2" customFormat="1" ht="17.85" customHeight="1" spans="1:7">
      <c r="A15" s="27" t="s">
        <v>18</v>
      </c>
      <c r="B15" s="30">
        <v>60</v>
      </c>
      <c r="C15" s="30">
        <v>60</v>
      </c>
      <c r="D15" s="24">
        <v>80</v>
      </c>
      <c r="E15" s="24">
        <v>80</v>
      </c>
      <c r="F15" s="25"/>
      <c r="G15" s="37"/>
    </row>
    <row r="16" s="2" customFormat="1" ht="17.85" customHeight="1" spans="1:7">
      <c r="A16" s="32" t="s">
        <v>19</v>
      </c>
      <c r="B16" s="30">
        <v>2233</v>
      </c>
      <c r="C16" s="30">
        <v>2233</v>
      </c>
      <c r="D16" s="24"/>
      <c r="E16" s="24"/>
      <c r="F16" s="25"/>
      <c r="G16" s="37"/>
    </row>
    <row r="17" s="2" customFormat="1" ht="17.85" customHeight="1" spans="1:7">
      <c r="A17" s="22" t="s">
        <v>20</v>
      </c>
      <c r="B17" s="30">
        <v>8082</v>
      </c>
      <c r="C17" s="30">
        <v>8082</v>
      </c>
      <c r="D17" s="24">
        <f>7129+401</f>
        <v>7530</v>
      </c>
      <c r="E17" s="24">
        <f>7129+401</f>
        <v>7530</v>
      </c>
      <c r="F17" s="25"/>
      <c r="G17" s="37"/>
    </row>
    <row r="18" s="2" customFormat="1" ht="17.85" customHeight="1" spans="1:7">
      <c r="A18" s="22" t="s">
        <v>21</v>
      </c>
      <c r="B18" s="30">
        <v>7227</v>
      </c>
      <c r="C18" s="30">
        <v>5927</v>
      </c>
      <c r="D18" s="24">
        <f>5316+1</f>
        <v>5317</v>
      </c>
      <c r="E18" s="24">
        <f>5316+1</f>
        <v>5317</v>
      </c>
      <c r="F18" s="25"/>
      <c r="G18" s="37"/>
    </row>
    <row r="19" s="2" customFormat="1" ht="17.85" customHeight="1" spans="1:7">
      <c r="A19" s="32" t="s">
        <v>22</v>
      </c>
      <c r="B19" s="30"/>
      <c r="C19" s="30"/>
      <c r="D19" s="24"/>
      <c r="E19" s="24"/>
      <c r="F19" s="25"/>
      <c r="G19" s="37"/>
    </row>
    <row r="20" s="2" customFormat="1" ht="17.85" customHeight="1" spans="1:7">
      <c r="A20" s="27" t="s">
        <v>23</v>
      </c>
      <c r="B20" s="30"/>
      <c r="C20" s="30"/>
      <c r="D20" s="24"/>
      <c r="E20" s="24"/>
      <c r="F20" s="25"/>
      <c r="G20" s="37"/>
    </row>
    <row r="21" s="4" customFormat="1" ht="17.85" customHeight="1" spans="1:7">
      <c r="A21" s="38" t="s">
        <v>24</v>
      </c>
      <c r="B21" s="39">
        <v>2</v>
      </c>
      <c r="C21" s="39">
        <v>2</v>
      </c>
      <c r="D21" s="40">
        <v>10</v>
      </c>
      <c r="E21" s="40">
        <v>10</v>
      </c>
      <c r="F21" s="41"/>
      <c r="G21" s="42"/>
    </row>
    <row r="22" s="2" customFormat="1" ht="17.85" customHeight="1" spans="1:7">
      <c r="A22" s="32" t="s">
        <v>25</v>
      </c>
      <c r="B22" s="30">
        <v>957</v>
      </c>
      <c r="C22" s="30">
        <v>957</v>
      </c>
      <c r="D22" s="24">
        <f>793-15</f>
        <v>778</v>
      </c>
      <c r="E22" s="24">
        <f>726-15</f>
        <v>711</v>
      </c>
      <c r="F22" s="25"/>
      <c r="G22" s="37"/>
    </row>
    <row r="23" s="2" customFormat="1" ht="17.85" customHeight="1" spans="1:7">
      <c r="A23" s="32" t="s">
        <v>26</v>
      </c>
      <c r="B23" s="30">
        <v>649</v>
      </c>
      <c r="C23" s="30">
        <v>649</v>
      </c>
      <c r="D23" s="24">
        <f>617-2</f>
        <v>615</v>
      </c>
      <c r="E23" s="24">
        <v>615</v>
      </c>
      <c r="F23" s="25"/>
      <c r="G23" s="37"/>
    </row>
    <row r="24" s="2" customFormat="1" ht="17.85" customHeight="1" spans="1:7">
      <c r="A24" s="32" t="s">
        <v>27</v>
      </c>
      <c r="B24" s="30">
        <v>3185</v>
      </c>
      <c r="C24" s="30">
        <v>2767</v>
      </c>
      <c r="D24" s="24">
        <f>2310-155</f>
        <v>2155</v>
      </c>
      <c r="E24" s="24">
        <f>2239-155</f>
        <v>2084</v>
      </c>
      <c r="F24" s="25"/>
      <c r="G24" s="37"/>
    </row>
    <row r="25" s="2" customFormat="1" ht="17.85" customHeight="1" spans="1:7">
      <c r="A25" s="32" t="s">
        <v>28</v>
      </c>
      <c r="B25" s="30">
        <v>6748</v>
      </c>
      <c r="C25" s="30">
        <v>6748</v>
      </c>
      <c r="D25" s="24">
        <f>7032+1192</f>
        <v>8224</v>
      </c>
      <c r="E25" s="24">
        <f>7032+1192</f>
        <v>8224</v>
      </c>
      <c r="F25" s="25"/>
      <c r="G25" s="37"/>
    </row>
    <row r="26" s="2" customFormat="1" ht="17.85" customHeight="1" spans="1:7">
      <c r="A26" s="32" t="s">
        <v>29</v>
      </c>
      <c r="B26" s="30">
        <v>7652</v>
      </c>
      <c r="C26" s="30">
        <v>7501</v>
      </c>
      <c r="D26" s="24">
        <f>7859-42</f>
        <v>7817</v>
      </c>
      <c r="E26" s="24">
        <f>7802-42</f>
        <v>7760</v>
      </c>
      <c r="F26" s="25"/>
      <c r="G26" s="37"/>
    </row>
    <row r="27" s="2" customFormat="1" ht="17.85" customHeight="1" spans="1:7">
      <c r="A27" s="32" t="s">
        <v>30</v>
      </c>
      <c r="B27" s="30">
        <v>2068</v>
      </c>
      <c r="C27" s="30">
        <v>2068</v>
      </c>
      <c r="D27" s="24">
        <f>2664+13</f>
        <v>2677</v>
      </c>
      <c r="E27" s="24">
        <f>2599+13</f>
        <v>2612</v>
      </c>
      <c r="F27" s="25"/>
      <c r="G27" s="37"/>
    </row>
    <row r="28" s="2" customFormat="1" ht="17.85" customHeight="1" spans="1:7">
      <c r="A28" s="32" t="s">
        <v>31</v>
      </c>
      <c r="B28" s="30">
        <v>1026</v>
      </c>
      <c r="C28" s="30">
        <v>1026</v>
      </c>
      <c r="D28" s="24">
        <v>932</v>
      </c>
      <c r="E28" s="24">
        <v>932</v>
      </c>
      <c r="F28" s="25"/>
      <c r="G28" s="37" t="s">
        <v>32</v>
      </c>
    </row>
    <row r="29" ht="17.85" customHeight="1" spans="1:7">
      <c r="A29" s="32" t="s">
        <v>33</v>
      </c>
      <c r="B29" s="23"/>
      <c r="C29" s="23"/>
      <c r="D29" s="23"/>
      <c r="E29" s="23"/>
      <c r="F29" s="25"/>
      <c r="G29" s="43"/>
    </row>
    <row r="30" ht="17.85" customHeight="1" spans="1:7">
      <c r="A30" s="32" t="s">
        <v>34</v>
      </c>
      <c r="B30" s="23">
        <v>4998</v>
      </c>
      <c r="C30" s="23">
        <v>4975</v>
      </c>
      <c r="D30" s="23">
        <f>4346+3</f>
        <v>4349</v>
      </c>
      <c r="E30" s="23">
        <v>4349</v>
      </c>
      <c r="F30" s="25"/>
      <c r="G30" s="43"/>
    </row>
    <row r="31" ht="17.85" customHeight="1" spans="1:7">
      <c r="A31" s="27" t="s">
        <v>35</v>
      </c>
      <c r="B31" s="23">
        <v>262</v>
      </c>
      <c r="C31" s="23">
        <v>262</v>
      </c>
      <c r="D31" s="23">
        <f>111-1</f>
        <v>110</v>
      </c>
      <c r="E31" s="23">
        <v>110</v>
      </c>
      <c r="F31" s="25"/>
      <c r="G31" s="43"/>
    </row>
    <row r="32" ht="17.85" customHeight="1" spans="1:7">
      <c r="A32" s="27" t="s">
        <v>36</v>
      </c>
      <c r="B32" s="23">
        <v>13895</v>
      </c>
      <c r="C32" s="23">
        <v>13688</v>
      </c>
      <c r="D32" s="23">
        <f>13911-235</f>
        <v>13676</v>
      </c>
      <c r="E32" s="23">
        <f>13753-235</f>
        <v>13518</v>
      </c>
      <c r="F32" s="25"/>
      <c r="G32" s="43"/>
    </row>
    <row r="33" ht="17.85" customHeight="1" spans="1:7">
      <c r="A33" s="32" t="s">
        <v>37</v>
      </c>
      <c r="B33" s="23">
        <v>19868</v>
      </c>
      <c r="C33" s="23">
        <v>19868</v>
      </c>
      <c r="D33" s="23">
        <f>19941-1190</f>
        <v>18751</v>
      </c>
      <c r="E33" s="23">
        <f>19579-1190</f>
        <v>18389</v>
      </c>
      <c r="F33" s="25"/>
      <c r="G33" s="43"/>
    </row>
    <row r="34" ht="17.85" hidden="1" customHeight="1" spans="1:7">
      <c r="A34" s="22" t="s">
        <v>38</v>
      </c>
      <c r="B34" s="23"/>
      <c r="C34" s="23"/>
      <c r="D34" s="23"/>
      <c r="E34" s="23"/>
      <c r="F34" s="25">
        <f t="shared" ref="F34:F39" si="0">IF(B34&lt;&gt;0,D34/B34,0)</f>
        <v>0</v>
      </c>
      <c r="G34" s="43"/>
    </row>
    <row r="35" ht="17.85" hidden="1" customHeight="1" spans="1:7">
      <c r="A35" s="27" t="s">
        <v>39</v>
      </c>
      <c r="B35" s="23"/>
      <c r="C35" s="23"/>
      <c r="D35" s="23"/>
      <c r="E35" s="28"/>
      <c r="F35" s="25">
        <f t="shared" si="0"/>
        <v>0</v>
      </c>
      <c r="G35" s="43"/>
    </row>
    <row r="36" ht="17.85" hidden="1" customHeight="1" spans="1:7">
      <c r="A36" s="27" t="s">
        <v>40</v>
      </c>
      <c r="B36" s="23"/>
      <c r="C36" s="23"/>
      <c r="D36" s="23"/>
      <c r="E36" s="28"/>
      <c r="F36" s="25"/>
      <c r="G36" s="43"/>
    </row>
    <row r="37" ht="17.85" hidden="1" customHeight="1" spans="1:7">
      <c r="A37" s="27" t="s">
        <v>41</v>
      </c>
      <c r="B37" s="23"/>
      <c r="C37" s="23"/>
      <c r="D37" s="23"/>
      <c r="E37" s="28"/>
      <c r="F37" s="25"/>
      <c r="G37" s="43"/>
    </row>
    <row r="38" ht="17.85" hidden="1" customHeight="1" spans="1:7">
      <c r="A38" s="27" t="s">
        <v>42</v>
      </c>
      <c r="B38" s="23"/>
      <c r="C38" s="23"/>
      <c r="D38" s="23"/>
      <c r="E38" s="28"/>
      <c r="F38" s="25">
        <f t="shared" si="0"/>
        <v>0</v>
      </c>
      <c r="G38" s="43"/>
    </row>
    <row r="39" ht="17.85" customHeight="1" spans="1:7">
      <c r="A39" s="22" t="s">
        <v>43</v>
      </c>
      <c r="B39" s="23">
        <v>2274</v>
      </c>
      <c r="C39" s="23">
        <v>2274</v>
      </c>
      <c r="D39" s="23">
        <f>D40</f>
        <v>2109</v>
      </c>
      <c r="E39" s="23">
        <f>E40</f>
        <v>2109</v>
      </c>
      <c r="F39" s="25">
        <f t="shared" si="0"/>
        <v>0.927440633245383</v>
      </c>
      <c r="G39" s="43"/>
    </row>
    <row r="40" ht="17.85" customHeight="1" spans="1:7">
      <c r="A40" s="32" t="s">
        <v>44</v>
      </c>
      <c r="B40" s="23">
        <v>2274</v>
      </c>
      <c r="C40" s="23">
        <v>2274</v>
      </c>
      <c r="D40" s="23">
        <f>2089+20</f>
        <v>2109</v>
      </c>
      <c r="E40" s="28">
        <f>2089+20</f>
        <v>2109</v>
      </c>
      <c r="F40" s="25"/>
      <c r="G40" s="43"/>
    </row>
    <row r="41" ht="17.85" customHeight="1" spans="1:7">
      <c r="A41" s="32" t="s">
        <v>45</v>
      </c>
      <c r="B41" s="23"/>
      <c r="C41" s="23"/>
      <c r="D41" s="23"/>
      <c r="E41" s="28"/>
      <c r="F41" s="25"/>
      <c r="G41" s="43"/>
    </row>
    <row r="42" ht="17.85" customHeight="1" spans="1:7">
      <c r="A42" s="22" t="s">
        <v>46</v>
      </c>
      <c r="B42" s="23">
        <v>54134</v>
      </c>
      <c r="C42" s="23">
        <v>47651</v>
      </c>
      <c r="D42" s="23">
        <f>SUM(D43:D53)</f>
        <v>52119</v>
      </c>
      <c r="E42" s="23">
        <f>SUM(E43:E53)</f>
        <v>49852</v>
      </c>
      <c r="F42" s="25">
        <f>IF(B42&lt;&gt;0,D42/B42,0)</f>
        <v>0.962777552000591</v>
      </c>
      <c r="G42" s="43"/>
    </row>
    <row r="43" ht="17.85" customHeight="1" spans="1:7">
      <c r="A43" s="27" t="s">
        <v>47</v>
      </c>
      <c r="B43" s="23">
        <v>180</v>
      </c>
      <c r="C43" s="23">
        <v>180</v>
      </c>
      <c r="D43" s="23">
        <v>83</v>
      </c>
      <c r="E43" s="23">
        <v>83</v>
      </c>
      <c r="F43" s="25"/>
      <c r="G43" s="43"/>
    </row>
    <row r="44" ht="17.85" customHeight="1" spans="1:7">
      <c r="A44" s="32" t="s">
        <v>48</v>
      </c>
      <c r="B44" s="23">
        <v>47878</v>
      </c>
      <c r="C44" s="23">
        <v>42503</v>
      </c>
      <c r="D44" s="23">
        <f>46821-8</f>
        <v>46813</v>
      </c>
      <c r="E44" s="23">
        <f>44622-8</f>
        <v>44614</v>
      </c>
      <c r="F44" s="25"/>
      <c r="G44" s="43"/>
    </row>
    <row r="45" ht="17.85" customHeight="1" spans="1:7">
      <c r="A45" s="27" t="s">
        <v>49</v>
      </c>
      <c r="B45" s="23">
        <v>43</v>
      </c>
      <c r="C45" s="23">
        <v>43</v>
      </c>
      <c r="D45" s="23">
        <v>100</v>
      </c>
      <c r="E45" s="23">
        <v>100</v>
      </c>
      <c r="F45" s="25"/>
      <c r="G45" s="43"/>
    </row>
    <row r="46" ht="17.85" customHeight="1" spans="1:7">
      <c r="A46" s="27" t="s">
        <v>50</v>
      </c>
      <c r="B46" s="23">
        <v>185</v>
      </c>
      <c r="C46" s="23">
        <v>185</v>
      </c>
      <c r="D46" s="23">
        <v>177</v>
      </c>
      <c r="E46" s="23">
        <v>177</v>
      </c>
      <c r="F46" s="25"/>
      <c r="G46" s="43"/>
    </row>
    <row r="47" ht="17.85" customHeight="1" spans="1:7">
      <c r="A47" s="22" t="s">
        <v>51</v>
      </c>
      <c r="B47" s="23">
        <v>263</v>
      </c>
      <c r="C47" s="23">
        <v>263</v>
      </c>
      <c r="D47" s="23">
        <v>128</v>
      </c>
      <c r="E47" s="23">
        <v>128</v>
      </c>
      <c r="F47" s="25"/>
      <c r="G47" s="43"/>
    </row>
    <row r="48" ht="17.85" customHeight="1" spans="1:7">
      <c r="A48" s="27" t="s">
        <v>52</v>
      </c>
      <c r="B48" s="23">
        <v>3241</v>
      </c>
      <c r="C48" s="23">
        <v>2993</v>
      </c>
      <c r="D48" s="23">
        <f>3408-15</f>
        <v>3393</v>
      </c>
      <c r="E48" s="23">
        <v>3325</v>
      </c>
      <c r="F48" s="25"/>
      <c r="G48" s="43"/>
    </row>
    <row r="49" ht="17.85" customHeight="1" spans="1:7">
      <c r="A49" s="27" t="s">
        <v>53</v>
      </c>
      <c r="B49" s="23"/>
      <c r="C49" s="23"/>
      <c r="D49" s="23"/>
      <c r="E49" s="23"/>
      <c r="F49" s="25"/>
      <c r="G49" s="43"/>
    </row>
    <row r="50" ht="17.85" customHeight="1" spans="1:7">
      <c r="A50" s="32" t="s">
        <v>54</v>
      </c>
      <c r="B50" s="23">
        <v>2142</v>
      </c>
      <c r="C50" s="23">
        <v>1282</v>
      </c>
      <c r="D50" s="23">
        <f>1732-307</f>
        <v>1425</v>
      </c>
      <c r="E50" s="23">
        <f>-307+1732</f>
        <v>1425</v>
      </c>
      <c r="F50" s="25"/>
      <c r="G50" s="43"/>
    </row>
    <row r="51" ht="17.85" customHeight="1" spans="1:7">
      <c r="A51" s="22" t="s">
        <v>55</v>
      </c>
      <c r="B51" s="23"/>
      <c r="C51" s="23"/>
      <c r="D51" s="23"/>
      <c r="E51" s="23"/>
      <c r="F51" s="25"/>
      <c r="G51" s="43"/>
    </row>
    <row r="52" ht="17.85" customHeight="1" spans="1:7">
      <c r="A52" s="27" t="s">
        <v>56</v>
      </c>
      <c r="B52" s="23"/>
      <c r="C52" s="23"/>
      <c r="D52" s="23"/>
      <c r="E52" s="23"/>
      <c r="F52" s="25"/>
      <c r="G52" s="43"/>
    </row>
    <row r="53" ht="17.85" customHeight="1" spans="1:7">
      <c r="A53" s="27" t="s">
        <v>57</v>
      </c>
      <c r="B53" s="23">
        <v>202</v>
      </c>
      <c r="C53" s="23">
        <v>202</v>
      </c>
      <c r="D53" s="23"/>
      <c r="E53" s="23"/>
      <c r="F53" s="25"/>
      <c r="G53" s="43"/>
    </row>
    <row r="54" ht="17.85" customHeight="1" spans="1:7">
      <c r="A54" s="22" t="s">
        <v>58</v>
      </c>
      <c r="B54" s="23">
        <v>198675</v>
      </c>
      <c r="C54" s="23">
        <v>174547</v>
      </c>
      <c r="D54" s="23">
        <f>SUM(D55:D64)</f>
        <v>195186</v>
      </c>
      <c r="E54" s="23">
        <f>SUM(E55:E64)</f>
        <v>177680</v>
      </c>
      <c r="F54" s="25">
        <f>IF(B54&lt;&gt;0,D54/B54,0)</f>
        <v>0.98243865609664</v>
      </c>
      <c r="G54" s="43"/>
    </row>
    <row r="55" ht="17.85" customHeight="1" spans="1:7">
      <c r="A55" s="32" t="s">
        <v>59</v>
      </c>
      <c r="B55" s="23">
        <v>8676</v>
      </c>
      <c r="C55" s="23">
        <v>8676</v>
      </c>
      <c r="D55" s="23">
        <f>-1549+8614</f>
        <v>7065</v>
      </c>
      <c r="E55" s="23">
        <f>-1549+8614</f>
        <v>7065</v>
      </c>
      <c r="F55" s="25"/>
      <c r="G55" s="43"/>
    </row>
    <row r="56" ht="17.85" customHeight="1" spans="1:7">
      <c r="A56" s="27" t="s">
        <v>60</v>
      </c>
      <c r="B56" s="23">
        <v>158814</v>
      </c>
      <c r="C56" s="23">
        <v>136890</v>
      </c>
      <c r="D56" s="23">
        <f>147731+12000-3165</f>
        <v>156566</v>
      </c>
      <c r="E56" s="23">
        <f>-3165+147548</f>
        <v>144383</v>
      </c>
      <c r="F56" s="25"/>
      <c r="G56" s="43"/>
    </row>
    <row r="57" ht="17.85" customHeight="1" spans="1:7">
      <c r="A57" s="27" t="s">
        <v>61</v>
      </c>
      <c r="B57" s="23">
        <v>13904</v>
      </c>
      <c r="C57" s="23">
        <v>13575</v>
      </c>
      <c r="D57" s="23">
        <f>2612+14995</f>
        <v>17607</v>
      </c>
      <c r="E57" s="23">
        <f>2612+11635</f>
        <v>14247</v>
      </c>
      <c r="F57" s="25"/>
      <c r="G57" s="43"/>
    </row>
    <row r="58" ht="17.85" customHeight="1" spans="1:7">
      <c r="A58" s="22" t="s">
        <v>62</v>
      </c>
      <c r="B58" s="23">
        <v>213</v>
      </c>
      <c r="C58" s="23">
        <v>213</v>
      </c>
      <c r="D58" s="23">
        <v>7</v>
      </c>
      <c r="E58" s="23">
        <v>7</v>
      </c>
      <c r="F58" s="25"/>
      <c r="G58" s="43"/>
    </row>
    <row r="59" ht="17.85" customHeight="1" spans="1:7">
      <c r="A59" s="32" t="s">
        <v>63</v>
      </c>
      <c r="B59" s="23">
        <v>768</v>
      </c>
      <c r="C59" s="23">
        <v>675</v>
      </c>
      <c r="D59" s="23">
        <f>-134+545</f>
        <v>411</v>
      </c>
      <c r="E59" s="23">
        <f>-134+545</f>
        <v>411</v>
      </c>
      <c r="F59" s="25"/>
      <c r="G59" s="43"/>
    </row>
    <row r="60" ht="17.85" customHeight="1" spans="1:7">
      <c r="A60" s="32" t="s">
        <v>64</v>
      </c>
      <c r="B60" s="23"/>
      <c r="C60" s="23"/>
      <c r="D60" s="23"/>
      <c r="E60" s="23"/>
      <c r="F60" s="25"/>
      <c r="G60" s="43"/>
    </row>
    <row r="61" ht="17.85" customHeight="1" spans="1:7">
      <c r="A61" s="27" t="s">
        <v>65</v>
      </c>
      <c r="B61" s="23">
        <v>802</v>
      </c>
      <c r="C61" s="23">
        <v>745</v>
      </c>
      <c r="D61" s="23">
        <f>-500+1222</f>
        <v>722</v>
      </c>
      <c r="E61" s="23">
        <f>-500+1183</f>
        <v>683</v>
      </c>
      <c r="F61" s="25"/>
      <c r="G61" s="43"/>
    </row>
    <row r="62" ht="17.85" customHeight="1" spans="1:7">
      <c r="A62" s="32" t="s">
        <v>66</v>
      </c>
      <c r="B62" s="23">
        <v>2702</v>
      </c>
      <c r="C62" s="23">
        <v>2702</v>
      </c>
      <c r="D62" s="23">
        <f>18+1949</f>
        <v>1967</v>
      </c>
      <c r="E62" s="23">
        <f>18+1937</f>
        <v>1955</v>
      </c>
      <c r="F62" s="25"/>
      <c r="G62" s="43"/>
    </row>
    <row r="63" ht="17.85" customHeight="1" spans="1:7">
      <c r="A63" s="27" t="s">
        <v>67</v>
      </c>
      <c r="B63" s="23">
        <v>12781</v>
      </c>
      <c r="C63" s="23">
        <v>11056</v>
      </c>
      <c r="D63" s="23">
        <f>1786+9055</f>
        <v>10841</v>
      </c>
      <c r="E63" s="23">
        <f>1786+7143</f>
        <v>8929</v>
      </c>
      <c r="F63" s="25"/>
      <c r="G63" s="43"/>
    </row>
    <row r="64" ht="17.85" customHeight="1" spans="1:7">
      <c r="A64" s="27" t="s">
        <v>68</v>
      </c>
      <c r="B64" s="23">
        <v>15</v>
      </c>
      <c r="C64" s="23">
        <v>15</v>
      </c>
      <c r="D64" s="23"/>
      <c r="E64" s="28"/>
      <c r="F64" s="25"/>
      <c r="G64" s="43"/>
    </row>
    <row r="65" ht="17.85" customHeight="1" spans="1:7">
      <c r="A65" s="22" t="s">
        <v>69</v>
      </c>
      <c r="B65" s="23">
        <v>7406</v>
      </c>
      <c r="C65" s="23">
        <v>7144</v>
      </c>
      <c r="D65" s="23">
        <f>SUM(D66:D75)</f>
        <v>8170</v>
      </c>
      <c r="E65" s="23">
        <f>SUM(E66:E75)</f>
        <v>8134</v>
      </c>
      <c r="F65" s="25">
        <f>IF(B65&lt;&gt;0,D65/B65,0)</f>
        <v>1.10315960032406</v>
      </c>
      <c r="G65" s="43"/>
    </row>
    <row r="66" ht="17.85" customHeight="1" spans="1:7">
      <c r="A66" s="32" t="s">
        <v>70</v>
      </c>
      <c r="B66" s="23">
        <v>2582</v>
      </c>
      <c r="C66" s="23">
        <v>2533</v>
      </c>
      <c r="D66" s="23">
        <f>-59+998</f>
        <v>939</v>
      </c>
      <c r="E66" s="23">
        <f>-59+998</f>
        <v>939</v>
      </c>
      <c r="F66" s="25"/>
      <c r="G66" s="43"/>
    </row>
    <row r="67" ht="17.85" customHeight="1" spans="1:7">
      <c r="A67" s="27" t="s">
        <v>71</v>
      </c>
      <c r="B67" s="23"/>
      <c r="C67" s="23"/>
      <c r="D67" s="23"/>
      <c r="E67" s="23"/>
      <c r="F67" s="25"/>
      <c r="G67" s="43"/>
    </row>
    <row r="68" ht="17.85" customHeight="1" spans="1:7">
      <c r="A68" s="32" t="s">
        <v>72</v>
      </c>
      <c r="B68" s="23">
        <v>632</v>
      </c>
      <c r="C68" s="23">
        <v>613</v>
      </c>
      <c r="D68" s="23">
        <v>264</v>
      </c>
      <c r="E68" s="23">
        <v>264</v>
      </c>
      <c r="F68" s="25"/>
      <c r="G68" s="43"/>
    </row>
    <row r="69" ht="17.85" customHeight="1" spans="1:7">
      <c r="A69" s="32" t="s">
        <v>73</v>
      </c>
      <c r="B69" s="23">
        <v>1942</v>
      </c>
      <c r="C69" s="23">
        <v>1782</v>
      </c>
      <c r="D69" s="23">
        <v>1845</v>
      </c>
      <c r="E69" s="23">
        <v>1845</v>
      </c>
      <c r="F69" s="25"/>
      <c r="G69" s="43"/>
    </row>
    <row r="70" ht="17.85" customHeight="1" spans="1:7">
      <c r="A70" s="32" t="s">
        <v>74</v>
      </c>
      <c r="B70" s="23">
        <v>870</v>
      </c>
      <c r="C70" s="23">
        <v>870</v>
      </c>
      <c r="D70" s="23">
        <v>2175</v>
      </c>
      <c r="E70" s="23">
        <v>2175</v>
      </c>
      <c r="F70" s="25"/>
      <c r="G70" s="43"/>
    </row>
    <row r="71" ht="17.85" customHeight="1" spans="1:7">
      <c r="A71" s="32" t="s">
        <v>75</v>
      </c>
      <c r="B71" s="23"/>
      <c r="C71" s="23"/>
      <c r="D71" s="23"/>
      <c r="E71" s="23"/>
      <c r="F71" s="25"/>
      <c r="G71" s="43"/>
    </row>
    <row r="72" ht="17.85" customHeight="1" spans="1:7">
      <c r="A72" s="27" t="s">
        <v>76</v>
      </c>
      <c r="B72" s="23">
        <v>490</v>
      </c>
      <c r="C72" s="23">
        <v>456</v>
      </c>
      <c r="D72" s="23">
        <v>425</v>
      </c>
      <c r="E72" s="23">
        <v>425</v>
      </c>
      <c r="F72" s="25"/>
      <c r="G72" s="43"/>
    </row>
    <row r="73" ht="17.85" customHeight="1" spans="1:7">
      <c r="A73" s="27" t="s">
        <v>77</v>
      </c>
      <c r="B73" s="23"/>
      <c r="C73" s="23"/>
      <c r="D73" s="23"/>
      <c r="E73" s="23"/>
      <c r="F73" s="25"/>
      <c r="G73" s="43"/>
    </row>
    <row r="74" ht="17.85" customHeight="1" spans="1:7">
      <c r="A74" s="22" t="s">
        <v>78</v>
      </c>
      <c r="B74" s="23"/>
      <c r="C74" s="23"/>
      <c r="D74" s="23"/>
      <c r="E74" s="23"/>
      <c r="F74" s="25"/>
      <c r="G74" s="43"/>
    </row>
    <row r="75" ht="17.85" customHeight="1" spans="1:7">
      <c r="A75" s="27" t="s">
        <v>79</v>
      </c>
      <c r="B75" s="23">
        <v>890</v>
      </c>
      <c r="C75" s="23">
        <v>890</v>
      </c>
      <c r="D75" s="23">
        <f>2016+506</f>
        <v>2522</v>
      </c>
      <c r="E75" s="23">
        <f>2016+470</f>
        <v>2486</v>
      </c>
      <c r="F75" s="25"/>
      <c r="G75" s="43"/>
    </row>
    <row r="76" ht="17.85" customHeight="1" spans="1:7">
      <c r="A76" s="22" t="s">
        <v>80</v>
      </c>
      <c r="B76" s="23">
        <v>24473</v>
      </c>
      <c r="C76" s="23">
        <v>21571</v>
      </c>
      <c r="D76" s="23">
        <f>SUM(D77:D82)</f>
        <v>18174</v>
      </c>
      <c r="E76" s="23">
        <f>SUM(E77:E82)</f>
        <v>16268</v>
      </c>
      <c r="F76" s="25">
        <f>IF(B76&lt;&gt;0,D76/B76,0)</f>
        <v>0.742614309647367</v>
      </c>
      <c r="G76" s="43"/>
    </row>
    <row r="77" ht="17.85" customHeight="1" spans="1:7">
      <c r="A77" s="22" t="s">
        <v>81</v>
      </c>
      <c r="B77" s="23">
        <v>13426</v>
      </c>
      <c r="C77" s="23">
        <v>12118</v>
      </c>
      <c r="D77" s="23">
        <f>9398-491</f>
        <v>8907</v>
      </c>
      <c r="E77" s="23">
        <f>-491+8092</f>
        <v>7601</v>
      </c>
      <c r="F77" s="25"/>
      <c r="G77" s="43"/>
    </row>
    <row r="78" ht="17.85" customHeight="1" spans="1:7">
      <c r="A78" s="22" t="s">
        <v>82</v>
      </c>
      <c r="B78" s="23">
        <v>1286</v>
      </c>
      <c r="C78" s="23">
        <v>470</v>
      </c>
      <c r="D78" s="23">
        <f>80+643</f>
        <v>723</v>
      </c>
      <c r="E78" s="23">
        <f>80+480</f>
        <v>560</v>
      </c>
      <c r="F78" s="25"/>
      <c r="G78" s="43"/>
    </row>
    <row r="79" ht="17.85" customHeight="1" spans="1:7">
      <c r="A79" s="22" t="s">
        <v>83</v>
      </c>
      <c r="B79" s="23">
        <v>1196</v>
      </c>
      <c r="C79" s="23">
        <v>1102</v>
      </c>
      <c r="D79" s="23">
        <f>-493+1215</f>
        <v>722</v>
      </c>
      <c r="E79" s="23">
        <f>-493+1195</f>
        <v>702</v>
      </c>
      <c r="F79" s="25"/>
      <c r="G79" s="43"/>
    </row>
    <row r="80" ht="17.85" customHeight="1" spans="1:7">
      <c r="A80" s="22" t="s">
        <v>84</v>
      </c>
      <c r="B80" s="23">
        <v>2440</v>
      </c>
      <c r="C80" s="23">
        <v>2437</v>
      </c>
      <c r="D80" s="23">
        <v>1884</v>
      </c>
      <c r="E80" s="23">
        <v>1876</v>
      </c>
      <c r="F80" s="25"/>
      <c r="G80" s="43"/>
    </row>
    <row r="81" ht="17.85" customHeight="1" spans="1:7">
      <c r="A81" s="22" t="s">
        <v>85</v>
      </c>
      <c r="B81" s="23">
        <v>5015</v>
      </c>
      <c r="C81" s="23">
        <v>5015</v>
      </c>
      <c r="D81" s="23">
        <f>-165+4763</f>
        <v>4598</v>
      </c>
      <c r="E81" s="23">
        <f>-165+4763</f>
        <v>4598</v>
      </c>
      <c r="F81" s="25"/>
      <c r="G81" s="43"/>
    </row>
    <row r="82" ht="17.85" customHeight="1" spans="1:7">
      <c r="A82" s="22" t="s">
        <v>86</v>
      </c>
      <c r="B82" s="23">
        <v>1110</v>
      </c>
      <c r="C82" s="23">
        <v>429</v>
      </c>
      <c r="D82" s="23">
        <v>1340</v>
      </c>
      <c r="E82" s="23">
        <v>931</v>
      </c>
      <c r="F82" s="25"/>
      <c r="G82" s="43"/>
    </row>
    <row r="83" ht="17.85" customHeight="1" spans="1:7">
      <c r="A83" s="22" t="s">
        <v>87</v>
      </c>
      <c r="B83" s="23">
        <v>197790</v>
      </c>
      <c r="C83" s="23">
        <v>131992</v>
      </c>
      <c r="D83" s="23">
        <f>SUM(D84:D103)</f>
        <v>213081</v>
      </c>
      <c r="E83" s="23">
        <f>SUM(E84:E103)</f>
        <v>129216</v>
      </c>
      <c r="F83" s="25">
        <f>IF(B83&lt;&gt;0,D83/B83,0)</f>
        <v>1.07730926740482</v>
      </c>
      <c r="G83" s="43"/>
    </row>
    <row r="84" ht="17.85" customHeight="1" spans="1:7">
      <c r="A84" s="22" t="s">
        <v>88</v>
      </c>
      <c r="B84" s="23">
        <v>20989</v>
      </c>
      <c r="C84" s="23">
        <v>20989</v>
      </c>
      <c r="D84" s="23">
        <f>12772+10000+139</f>
        <v>22911</v>
      </c>
      <c r="E84" s="23">
        <f>139+12772</f>
        <v>12911</v>
      </c>
      <c r="F84" s="25"/>
      <c r="G84" s="43"/>
    </row>
    <row r="85" ht="17.85" customHeight="1" spans="1:7">
      <c r="A85" s="22" t="s">
        <v>89</v>
      </c>
      <c r="B85" s="23">
        <v>5959</v>
      </c>
      <c r="C85" s="23">
        <v>5651</v>
      </c>
      <c r="D85" s="23">
        <v>6260</v>
      </c>
      <c r="E85" s="23">
        <v>6260</v>
      </c>
      <c r="F85" s="25"/>
      <c r="G85" s="43"/>
    </row>
    <row r="86" ht="17.85" customHeight="1" spans="1:7">
      <c r="A86" s="22" t="s">
        <v>90</v>
      </c>
      <c r="B86" s="23"/>
      <c r="C86" s="23"/>
      <c r="D86" s="23"/>
      <c r="E86" s="23"/>
      <c r="F86" s="25"/>
      <c r="G86" s="43"/>
    </row>
    <row r="87" ht="17.85" customHeight="1" spans="1:7">
      <c r="A87" s="22" t="s">
        <v>91</v>
      </c>
      <c r="B87" s="23">
        <v>47253</v>
      </c>
      <c r="C87" s="23">
        <v>42175</v>
      </c>
      <c r="D87" s="23">
        <f>-937+60792</f>
        <v>59855</v>
      </c>
      <c r="E87" s="23">
        <f>60792-937</f>
        <v>59855</v>
      </c>
      <c r="F87" s="25"/>
      <c r="G87" s="43"/>
    </row>
    <row r="88" ht="17.85" customHeight="1" spans="1:7">
      <c r="A88" s="22" t="s">
        <v>92</v>
      </c>
      <c r="B88" s="23">
        <v>4327</v>
      </c>
      <c r="C88" s="23">
        <v>4327</v>
      </c>
      <c r="D88" s="23">
        <v>4118</v>
      </c>
      <c r="E88" s="23">
        <v>4118</v>
      </c>
      <c r="F88" s="25"/>
      <c r="G88" s="43"/>
    </row>
    <row r="89" ht="17.85" customHeight="1" spans="1:7">
      <c r="A89" s="22" t="s">
        <v>93</v>
      </c>
      <c r="B89" s="23">
        <v>3515</v>
      </c>
      <c r="C89" s="23">
        <v>1925</v>
      </c>
      <c r="D89" s="23">
        <v>3976</v>
      </c>
      <c r="E89" s="23">
        <v>3819</v>
      </c>
      <c r="F89" s="25"/>
      <c r="G89" s="43"/>
    </row>
    <row r="90" ht="17.85" customHeight="1" spans="1:7">
      <c r="A90" s="22" t="s">
        <v>94</v>
      </c>
      <c r="B90" s="23">
        <v>6522</v>
      </c>
      <c r="C90" s="23">
        <v>4854</v>
      </c>
      <c r="D90" s="23">
        <f>-169+6942</f>
        <v>6773</v>
      </c>
      <c r="E90" s="23">
        <f>-169+6942</f>
        <v>6773</v>
      </c>
      <c r="F90" s="25"/>
      <c r="G90" s="43"/>
    </row>
    <row r="91" ht="17.85" customHeight="1" spans="1:7">
      <c r="A91" s="22" t="s">
        <v>95</v>
      </c>
      <c r="B91" s="23">
        <v>2252</v>
      </c>
      <c r="C91" s="23">
        <v>1264</v>
      </c>
      <c r="D91" s="23">
        <v>2965</v>
      </c>
      <c r="E91" s="23">
        <v>2499</v>
      </c>
      <c r="F91" s="25"/>
      <c r="G91" s="43"/>
    </row>
    <row r="92" ht="17.85" customHeight="1" spans="1:7">
      <c r="A92" s="22" t="s">
        <v>96</v>
      </c>
      <c r="B92" s="23">
        <v>1903</v>
      </c>
      <c r="C92" s="23">
        <v>1803</v>
      </c>
      <c r="D92" s="23">
        <v>2504</v>
      </c>
      <c r="E92" s="23">
        <v>2489</v>
      </c>
      <c r="F92" s="25"/>
      <c r="G92" s="43"/>
    </row>
    <row r="93" ht="17.85" customHeight="1" spans="1:7">
      <c r="A93" s="22" t="s">
        <v>97</v>
      </c>
      <c r="B93" s="23">
        <v>2707</v>
      </c>
      <c r="C93" s="23">
        <v>2500</v>
      </c>
      <c r="D93" s="23">
        <f>-42+9441</f>
        <v>9399</v>
      </c>
      <c r="E93" s="23">
        <f>-42+9373</f>
        <v>9331</v>
      </c>
      <c r="F93" s="25"/>
      <c r="G93" s="43"/>
    </row>
    <row r="94" ht="17.85" customHeight="1" spans="1:7">
      <c r="A94" s="22" t="s">
        <v>98</v>
      </c>
      <c r="B94" s="23">
        <v>72</v>
      </c>
      <c r="C94" s="23">
        <v>72</v>
      </c>
      <c r="D94" s="23">
        <f>-263+374</f>
        <v>111</v>
      </c>
      <c r="E94" s="23">
        <f>-263+374</f>
        <v>111</v>
      </c>
      <c r="F94" s="25"/>
      <c r="G94" s="43"/>
    </row>
    <row r="95" ht="17.85" customHeight="1" spans="1:7">
      <c r="A95" s="22" t="s">
        <v>99</v>
      </c>
      <c r="B95" s="23">
        <v>15645</v>
      </c>
      <c r="C95" s="23">
        <v>4059</v>
      </c>
      <c r="D95" s="23">
        <v>15722</v>
      </c>
      <c r="E95" s="23">
        <v>15722</v>
      </c>
      <c r="F95" s="25"/>
      <c r="G95" s="43"/>
    </row>
    <row r="96" ht="17.85" customHeight="1" spans="1:7">
      <c r="A96" s="22" t="s">
        <v>100</v>
      </c>
      <c r="B96" s="23">
        <v>732</v>
      </c>
      <c r="C96" s="23">
        <v>212</v>
      </c>
      <c r="D96" s="23">
        <v>550</v>
      </c>
      <c r="E96" s="23">
        <v>530</v>
      </c>
      <c r="F96" s="25"/>
      <c r="G96" s="43"/>
    </row>
    <row r="97" ht="17.85" customHeight="1" spans="1:7">
      <c r="A97" s="22" t="s">
        <v>101</v>
      </c>
      <c r="B97" s="23">
        <v>3968</v>
      </c>
      <c r="C97" s="23">
        <v>1968</v>
      </c>
      <c r="D97" s="23">
        <v>1909</v>
      </c>
      <c r="E97" s="23">
        <v>1909</v>
      </c>
      <c r="F97" s="25"/>
      <c r="G97" s="43"/>
    </row>
    <row r="98" ht="17.85" customHeight="1" spans="1:7">
      <c r="A98" s="22" t="s">
        <v>102</v>
      </c>
      <c r="B98" s="23"/>
      <c r="C98" s="23"/>
      <c r="D98" s="23"/>
      <c r="E98" s="23"/>
      <c r="F98" s="25"/>
      <c r="G98" s="43"/>
    </row>
    <row r="99" ht="17.85" customHeight="1" spans="1:7">
      <c r="A99" s="22" t="s">
        <v>103</v>
      </c>
      <c r="B99" s="23">
        <v>50</v>
      </c>
      <c r="C99" s="23">
        <v>50</v>
      </c>
      <c r="D99" s="23">
        <v>18</v>
      </c>
      <c r="E99" s="23">
        <v>18</v>
      </c>
      <c r="F99" s="25"/>
      <c r="G99" s="43"/>
    </row>
    <row r="100" ht="17.85" customHeight="1" spans="1:7">
      <c r="A100" s="22" t="s">
        <v>104</v>
      </c>
      <c r="B100" s="23">
        <v>54414</v>
      </c>
      <c r="C100" s="23">
        <v>24203</v>
      </c>
      <c r="D100" s="23">
        <v>46271</v>
      </c>
      <c r="E100" s="23">
        <v>0</v>
      </c>
      <c r="F100" s="25"/>
      <c r="G100" s="43"/>
    </row>
    <row r="101" ht="17.85" customHeight="1" spans="1:7">
      <c r="A101" s="22" t="s">
        <v>105</v>
      </c>
      <c r="B101" s="23">
        <v>2</v>
      </c>
      <c r="C101" s="23">
        <v>2</v>
      </c>
      <c r="D101" s="23">
        <v>1066</v>
      </c>
      <c r="E101" s="23">
        <v>1066</v>
      </c>
      <c r="F101" s="25"/>
      <c r="G101" s="43"/>
    </row>
    <row r="102" ht="17.85" customHeight="1" spans="1:7">
      <c r="A102" s="44" t="s">
        <v>106</v>
      </c>
      <c r="B102" s="23">
        <v>3432</v>
      </c>
      <c r="C102" s="23">
        <v>3432</v>
      </c>
      <c r="D102" s="23">
        <v>1805</v>
      </c>
      <c r="E102" s="23">
        <v>1805</v>
      </c>
      <c r="F102" s="25"/>
      <c r="G102" s="43"/>
    </row>
    <row r="103" ht="17.85" customHeight="1" spans="1:7">
      <c r="A103" s="22" t="s">
        <v>107</v>
      </c>
      <c r="B103" s="23">
        <v>24048</v>
      </c>
      <c r="C103" s="23">
        <v>12506</v>
      </c>
      <c r="D103" s="23">
        <v>26868</v>
      </c>
      <c r="E103" s="23">
        <v>0</v>
      </c>
      <c r="F103" s="25"/>
      <c r="G103" s="43"/>
    </row>
    <row r="104" ht="17.85" customHeight="1" spans="1:7">
      <c r="A104" s="22" t="s">
        <v>108</v>
      </c>
      <c r="B104" s="23">
        <v>127820</v>
      </c>
      <c r="C104" s="23">
        <v>76082</v>
      </c>
      <c r="D104" s="23">
        <f>SUM(D105:D117)</f>
        <v>121625</v>
      </c>
      <c r="E104" s="23">
        <f>SUM(E105:E117)</f>
        <v>79808</v>
      </c>
      <c r="F104" s="25">
        <f>IF(B104&lt;&gt;0,D104/B104,0)</f>
        <v>0.951533406352683</v>
      </c>
      <c r="G104" s="43"/>
    </row>
    <row r="105" ht="17.85" customHeight="1" spans="1:7">
      <c r="A105" s="22" t="s">
        <v>109</v>
      </c>
      <c r="B105" s="23">
        <v>5571</v>
      </c>
      <c r="C105" s="23">
        <v>5504</v>
      </c>
      <c r="D105" s="23">
        <f>-16+3803</f>
        <v>3787</v>
      </c>
      <c r="E105" s="23">
        <f>-16+3727</f>
        <v>3711</v>
      </c>
      <c r="F105" s="25"/>
      <c r="G105" s="43"/>
    </row>
    <row r="106" ht="17.85" customHeight="1" spans="1:7">
      <c r="A106" s="22" t="s">
        <v>110</v>
      </c>
      <c r="B106" s="23">
        <v>15673</v>
      </c>
      <c r="C106" s="23">
        <v>14648</v>
      </c>
      <c r="D106" s="23">
        <f>89+16712</f>
        <v>16801</v>
      </c>
      <c r="E106" s="23">
        <f>89+16155</f>
        <v>16244</v>
      </c>
      <c r="F106" s="25"/>
      <c r="G106" s="43"/>
    </row>
    <row r="107" ht="17.85" customHeight="1" spans="1:7">
      <c r="A107" s="22" t="s">
        <v>111</v>
      </c>
      <c r="B107" s="23">
        <v>7880</v>
      </c>
      <c r="C107" s="23">
        <v>7880</v>
      </c>
      <c r="D107" s="23">
        <v>8398</v>
      </c>
      <c r="E107" s="23">
        <v>8398</v>
      </c>
      <c r="F107" s="25"/>
      <c r="G107" s="43"/>
    </row>
    <row r="108" ht="17.85" customHeight="1" spans="1:7">
      <c r="A108" s="22" t="s">
        <v>112</v>
      </c>
      <c r="B108" s="23">
        <v>21954</v>
      </c>
      <c r="C108" s="23">
        <v>14393</v>
      </c>
      <c r="D108" s="23">
        <v>23031</v>
      </c>
      <c r="E108" s="23">
        <v>19618</v>
      </c>
      <c r="F108" s="25"/>
      <c r="G108" s="43"/>
    </row>
    <row r="109" ht="17.85" customHeight="1" spans="1:7">
      <c r="A109" s="22" t="s">
        <v>113</v>
      </c>
      <c r="B109" s="23"/>
      <c r="C109" s="23"/>
      <c r="D109" s="23">
        <v>14</v>
      </c>
      <c r="E109" s="23">
        <v>14</v>
      </c>
      <c r="F109" s="25"/>
      <c r="G109" s="43"/>
    </row>
    <row r="110" ht="17.85" customHeight="1" spans="1:7">
      <c r="A110" s="22" t="s">
        <v>114</v>
      </c>
      <c r="B110" s="23">
        <v>8148</v>
      </c>
      <c r="C110" s="23">
        <v>6416</v>
      </c>
      <c r="D110" s="23">
        <f>23+6043</f>
        <v>6066</v>
      </c>
      <c r="E110" s="23">
        <f>23+6039</f>
        <v>6062</v>
      </c>
      <c r="F110" s="25"/>
      <c r="G110" s="43"/>
    </row>
    <row r="111" ht="17.85" customHeight="1" spans="1:7">
      <c r="A111" s="22" t="s">
        <v>115</v>
      </c>
      <c r="B111" s="23">
        <v>12031</v>
      </c>
      <c r="C111" s="23">
        <v>12031</v>
      </c>
      <c r="D111" s="23">
        <v>12141</v>
      </c>
      <c r="E111" s="23">
        <v>11141</v>
      </c>
      <c r="F111" s="25"/>
      <c r="G111" s="43"/>
    </row>
    <row r="112" ht="17.85" customHeight="1" spans="1:7">
      <c r="A112" s="22" t="s">
        <v>116</v>
      </c>
      <c r="B112" s="23">
        <v>50016</v>
      </c>
      <c r="C112" s="23">
        <v>12061</v>
      </c>
      <c r="D112" s="23">
        <f>4858+39250</f>
        <v>44108</v>
      </c>
      <c r="E112" s="23">
        <f>4858+3534</f>
        <v>8392</v>
      </c>
      <c r="F112" s="25"/>
      <c r="G112" s="43"/>
    </row>
    <row r="113" ht="17.85" customHeight="1" spans="1:7">
      <c r="A113" s="22" t="s">
        <v>117</v>
      </c>
      <c r="B113" s="23">
        <v>3411</v>
      </c>
      <c r="C113" s="23">
        <v>1233</v>
      </c>
      <c r="D113" s="23">
        <v>2900</v>
      </c>
      <c r="E113" s="23">
        <v>2900</v>
      </c>
      <c r="F113" s="25"/>
      <c r="G113" s="43"/>
    </row>
    <row r="114" ht="17.85" customHeight="1" spans="1:7">
      <c r="A114" s="22" t="s">
        <v>118</v>
      </c>
      <c r="B114" s="23">
        <v>802</v>
      </c>
      <c r="C114" s="23">
        <v>39</v>
      </c>
      <c r="D114" s="23">
        <v>854</v>
      </c>
      <c r="E114" s="23">
        <v>854</v>
      </c>
      <c r="F114" s="25"/>
      <c r="G114" s="43"/>
    </row>
    <row r="115" ht="17.85" customHeight="1" spans="1:7">
      <c r="A115" s="22" t="s">
        <v>119</v>
      </c>
      <c r="B115" s="23">
        <v>1334</v>
      </c>
      <c r="C115" s="23">
        <v>1334</v>
      </c>
      <c r="D115" s="23">
        <f>-113+1653</f>
        <v>1540</v>
      </c>
      <c r="E115" s="23">
        <f>-113+1363</f>
        <v>1250</v>
      </c>
      <c r="F115" s="25"/>
      <c r="G115" s="43"/>
    </row>
    <row r="116" ht="17.85" customHeight="1" spans="1:7">
      <c r="A116" s="22" t="s">
        <v>120</v>
      </c>
      <c r="B116" s="23">
        <v>374</v>
      </c>
      <c r="C116" s="23">
        <v>374</v>
      </c>
      <c r="D116" s="23">
        <v>433</v>
      </c>
      <c r="E116" s="23">
        <v>433</v>
      </c>
      <c r="F116" s="25"/>
      <c r="G116" s="43"/>
    </row>
    <row r="117" ht="17.85" customHeight="1" spans="1:7">
      <c r="A117" s="22" t="s">
        <v>121</v>
      </c>
      <c r="B117" s="23">
        <v>626</v>
      </c>
      <c r="C117" s="23">
        <v>169</v>
      </c>
      <c r="D117" s="23">
        <v>1552</v>
      </c>
      <c r="E117" s="23">
        <v>791</v>
      </c>
      <c r="F117" s="25"/>
      <c r="G117" s="43"/>
    </row>
    <row r="118" ht="17.85" customHeight="1" spans="1:7">
      <c r="A118" s="22" t="s">
        <v>122</v>
      </c>
      <c r="B118" s="23">
        <v>87643</v>
      </c>
      <c r="C118" s="23">
        <v>14833</v>
      </c>
      <c r="D118" s="23">
        <f>SUM(D119:D133)</f>
        <v>74667</v>
      </c>
      <c r="E118" s="23">
        <f>SUM(E119:E133)</f>
        <v>18531</v>
      </c>
      <c r="F118" s="25">
        <f>IF(B118&lt;&gt;0,D118/B118,0)</f>
        <v>0.851944821605833</v>
      </c>
      <c r="G118" s="43"/>
    </row>
    <row r="119" ht="17.85" customHeight="1" spans="1:7">
      <c r="A119" s="22" t="s">
        <v>123</v>
      </c>
      <c r="B119" s="23">
        <v>6111</v>
      </c>
      <c r="C119" s="23">
        <v>1545</v>
      </c>
      <c r="D119" s="23">
        <f>-32+2260</f>
        <v>2228</v>
      </c>
      <c r="E119" s="23">
        <f>-32+2260</f>
        <v>2228</v>
      </c>
      <c r="F119" s="25"/>
      <c r="G119" s="43"/>
    </row>
    <row r="120" ht="17.85" customHeight="1" spans="1:7">
      <c r="A120" s="22" t="s">
        <v>124</v>
      </c>
      <c r="B120" s="23">
        <v>79</v>
      </c>
      <c r="C120" s="23">
        <v>79</v>
      </c>
      <c r="D120" s="23">
        <f>-528+969</f>
        <v>441</v>
      </c>
      <c r="E120" s="23">
        <f>-528+969</f>
        <v>441</v>
      </c>
      <c r="F120" s="25"/>
      <c r="G120" s="43"/>
    </row>
    <row r="121" ht="17.85" customHeight="1" spans="1:7">
      <c r="A121" s="22" t="s">
        <v>125</v>
      </c>
      <c r="B121" s="23">
        <v>68709</v>
      </c>
      <c r="C121" s="23">
        <v>8700</v>
      </c>
      <c r="D121" s="23">
        <f>2172+58479</f>
        <v>60651</v>
      </c>
      <c r="E121" s="23">
        <f>2172+9893</f>
        <v>12065</v>
      </c>
      <c r="F121" s="25"/>
      <c r="G121" s="43"/>
    </row>
    <row r="122" ht="17.85" customHeight="1" spans="1:7">
      <c r="A122" s="22" t="s">
        <v>126</v>
      </c>
      <c r="B122" s="23">
        <v>948</v>
      </c>
      <c r="C122" s="23">
        <v>602</v>
      </c>
      <c r="D122" s="23">
        <v>0</v>
      </c>
      <c r="E122" s="23">
        <v>0</v>
      </c>
      <c r="F122" s="25"/>
      <c r="G122" s="43"/>
    </row>
    <row r="123" ht="17.85" customHeight="1" spans="1:7">
      <c r="A123" s="22" t="s">
        <v>127</v>
      </c>
      <c r="B123" s="23">
        <v>16</v>
      </c>
      <c r="C123" s="23"/>
      <c r="D123" s="23">
        <v>188</v>
      </c>
      <c r="E123" s="23">
        <v>188</v>
      </c>
      <c r="F123" s="25"/>
      <c r="G123" s="43"/>
    </row>
    <row r="124" ht="17.85" customHeight="1" spans="1:7">
      <c r="A124" s="22" t="s">
        <v>128</v>
      </c>
      <c r="B124" s="23">
        <v>102</v>
      </c>
      <c r="C124" s="23"/>
      <c r="D124" s="23">
        <v>21</v>
      </c>
      <c r="E124" s="23">
        <v>21</v>
      </c>
      <c r="F124" s="25"/>
      <c r="G124" s="43"/>
    </row>
    <row r="125" ht="17.85" customHeight="1" spans="1:7">
      <c r="A125" s="22" t="s">
        <v>129</v>
      </c>
      <c r="B125" s="23"/>
      <c r="C125" s="23"/>
      <c r="D125" s="23"/>
      <c r="E125" s="23"/>
      <c r="F125" s="25"/>
      <c r="G125" s="43"/>
    </row>
    <row r="126" ht="17.85" customHeight="1" spans="1:7">
      <c r="A126" s="22" t="s">
        <v>130</v>
      </c>
      <c r="B126" s="23"/>
      <c r="C126" s="23"/>
      <c r="D126" s="23"/>
      <c r="E126" s="23"/>
      <c r="F126" s="25"/>
      <c r="G126" s="43"/>
    </row>
    <row r="127" ht="17.85" customHeight="1" spans="1:7">
      <c r="A127" s="22" t="s">
        <v>131</v>
      </c>
      <c r="B127" s="23"/>
      <c r="C127" s="23"/>
      <c r="D127" s="23"/>
      <c r="E127" s="23"/>
      <c r="F127" s="25"/>
      <c r="G127" s="43"/>
    </row>
    <row r="128" ht="17.85" customHeight="1" spans="1:7">
      <c r="A128" s="22" t="s">
        <v>132</v>
      </c>
      <c r="B128" s="23">
        <v>5183</v>
      </c>
      <c r="C128" s="23"/>
      <c r="D128" s="23">
        <v>360</v>
      </c>
      <c r="E128" s="23">
        <v>360</v>
      </c>
      <c r="F128" s="25"/>
      <c r="G128" s="43"/>
    </row>
    <row r="129" ht="17.85" customHeight="1" spans="1:7">
      <c r="A129" s="22" t="s">
        <v>133</v>
      </c>
      <c r="B129" s="23">
        <v>1805</v>
      </c>
      <c r="C129" s="23">
        <v>1805</v>
      </c>
      <c r="D129" s="23">
        <f>-66+2200</f>
        <v>2134</v>
      </c>
      <c r="E129" s="23">
        <f>-66+1900</f>
        <v>1834</v>
      </c>
      <c r="F129" s="25"/>
      <c r="G129" s="43"/>
    </row>
    <row r="130" ht="17.85" customHeight="1" spans="1:7">
      <c r="A130" s="22" t="s">
        <v>134</v>
      </c>
      <c r="B130" s="23">
        <v>2308</v>
      </c>
      <c r="C130" s="23"/>
      <c r="D130" s="23">
        <v>1566</v>
      </c>
      <c r="E130" s="23">
        <v>0</v>
      </c>
      <c r="F130" s="25"/>
      <c r="G130" s="43"/>
    </row>
    <row r="131" ht="17.85" customHeight="1" spans="1:7">
      <c r="A131" s="22" t="s">
        <v>135</v>
      </c>
      <c r="B131" s="23"/>
      <c r="C131" s="23"/>
      <c r="D131" s="23"/>
      <c r="E131" s="23"/>
      <c r="F131" s="25"/>
      <c r="G131" s="43"/>
    </row>
    <row r="132" ht="17.85" customHeight="1" spans="1:7">
      <c r="A132" s="22" t="s">
        <v>136</v>
      </c>
      <c r="B132" s="23">
        <v>2102</v>
      </c>
      <c r="C132" s="23">
        <v>2102</v>
      </c>
      <c r="D132" s="23">
        <v>1394</v>
      </c>
      <c r="E132" s="23">
        <v>1394</v>
      </c>
      <c r="F132" s="25"/>
      <c r="G132" s="43"/>
    </row>
    <row r="133" ht="17.85" customHeight="1" spans="1:7">
      <c r="A133" s="22" t="s">
        <v>137</v>
      </c>
      <c r="B133" s="23">
        <v>280</v>
      </c>
      <c r="C133" s="23"/>
      <c r="D133" s="23">
        <v>5684</v>
      </c>
      <c r="E133" s="23">
        <v>0</v>
      </c>
      <c r="F133" s="25"/>
      <c r="G133" s="43"/>
    </row>
    <row r="134" ht="17.85" customHeight="1" spans="1:7">
      <c r="A134" s="22" t="s">
        <v>138</v>
      </c>
      <c r="B134" s="23">
        <v>127366</v>
      </c>
      <c r="C134" s="23">
        <v>58391</v>
      </c>
      <c r="D134" s="23">
        <f>SUM(D135:D140)</f>
        <v>66440</v>
      </c>
      <c r="E134" s="23">
        <f>SUM(E135:E140)</f>
        <v>32571</v>
      </c>
      <c r="F134" s="25">
        <f>IF(B134&lt;&gt;0,D134/B134,0)</f>
        <v>0.521646279226795</v>
      </c>
      <c r="G134" s="43"/>
    </row>
    <row r="135" ht="17.85" customHeight="1" spans="1:7">
      <c r="A135" s="22" t="s">
        <v>139</v>
      </c>
      <c r="B135" s="23">
        <v>18548</v>
      </c>
      <c r="C135" s="23">
        <v>17391</v>
      </c>
      <c r="D135" s="23">
        <f>-844+18218</f>
        <v>17374</v>
      </c>
      <c r="E135" s="23">
        <f>-844+18218</f>
        <v>17374</v>
      </c>
      <c r="F135" s="25"/>
      <c r="G135" s="43"/>
    </row>
    <row r="136" ht="17.85" customHeight="1" spans="1:7">
      <c r="A136" s="22" t="s">
        <v>140</v>
      </c>
      <c r="B136" s="23">
        <v>919</v>
      </c>
      <c r="C136" s="23">
        <v>919</v>
      </c>
      <c r="D136" s="23">
        <f>67+1300</f>
        <v>1367</v>
      </c>
      <c r="E136" s="23">
        <f>67+1300</f>
        <v>1367</v>
      </c>
      <c r="F136" s="25"/>
      <c r="G136" s="43"/>
    </row>
    <row r="137" ht="17.85" customHeight="1" spans="1:7">
      <c r="A137" s="22" t="s">
        <v>141</v>
      </c>
      <c r="B137" s="23">
        <v>78377</v>
      </c>
      <c r="C137" s="23">
        <v>16559</v>
      </c>
      <c r="D137" s="23">
        <f>19513+10198+405-62+854+1+37</f>
        <v>30946</v>
      </c>
      <c r="E137" s="23">
        <f>18283-2000-11471+405-62+104+751+37</f>
        <v>6047</v>
      </c>
      <c r="F137" s="25"/>
      <c r="G137" s="43"/>
    </row>
    <row r="138" ht="17.85" customHeight="1" spans="1:7">
      <c r="A138" s="22" t="s">
        <v>142</v>
      </c>
      <c r="B138" s="23">
        <v>25466</v>
      </c>
      <c r="C138" s="23">
        <v>19466</v>
      </c>
      <c r="D138" s="23">
        <f>20587+5000-8614-4807</f>
        <v>12166</v>
      </c>
      <c r="E138" s="23">
        <f>19117-8614-4807</f>
        <v>5696</v>
      </c>
      <c r="F138" s="25"/>
      <c r="G138" s="43"/>
    </row>
    <row r="139" ht="17.85" customHeight="1" spans="1:7">
      <c r="A139" s="22" t="s">
        <v>143</v>
      </c>
      <c r="B139" s="23">
        <v>1068</v>
      </c>
      <c r="C139" s="23">
        <v>1068</v>
      </c>
      <c r="D139" s="23">
        <v>1076</v>
      </c>
      <c r="E139" s="23">
        <v>1076</v>
      </c>
      <c r="F139" s="25"/>
      <c r="G139" s="43"/>
    </row>
    <row r="140" ht="17.85" customHeight="1" spans="1:7">
      <c r="A140" s="22" t="s">
        <v>144</v>
      </c>
      <c r="B140" s="23">
        <v>2988</v>
      </c>
      <c r="C140" s="23">
        <v>2988</v>
      </c>
      <c r="D140" s="23">
        <f>581+2500+430</f>
        <v>3511</v>
      </c>
      <c r="E140" s="23">
        <f>430+581</f>
        <v>1011</v>
      </c>
      <c r="F140" s="25"/>
      <c r="G140" s="43"/>
    </row>
    <row r="141" ht="17.85" customHeight="1" spans="1:7">
      <c r="A141" s="22" t="s">
        <v>145</v>
      </c>
      <c r="B141" s="23">
        <v>79412</v>
      </c>
      <c r="C141" s="23">
        <v>45499</v>
      </c>
      <c r="D141" s="45">
        <f>SUM(D142:D151)</f>
        <v>61937</v>
      </c>
      <c r="E141" s="45">
        <f>SUM(E142:E151)</f>
        <v>53228</v>
      </c>
      <c r="F141" s="25">
        <f>IF(B141&lt;&gt;0,D141/B141,0)</f>
        <v>0.779945096458973</v>
      </c>
      <c r="G141" s="43"/>
    </row>
    <row r="142" ht="17.85" customHeight="1" spans="1:7">
      <c r="A142" s="22" t="s">
        <v>146</v>
      </c>
      <c r="B142" s="23">
        <v>37723</v>
      </c>
      <c r="C142" s="23">
        <v>21158</v>
      </c>
      <c r="D142" s="23">
        <f>542+25830</f>
        <v>26372</v>
      </c>
      <c r="E142" s="28">
        <f>542+22199</f>
        <v>22741</v>
      </c>
      <c r="F142" s="25"/>
      <c r="G142" s="43"/>
    </row>
    <row r="143" ht="17.85" customHeight="1" spans="1:7">
      <c r="A143" s="22" t="s">
        <v>147</v>
      </c>
      <c r="B143" s="23">
        <v>5146</v>
      </c>
      <c r="C143" s="23">
        <v>4231</v>
      </c>
      <c r="D143" s="23">
        <f>10+9301</f>
        <v>9311</v>
      </c>
      <c r="E143" s="28">
        <f>10+6340</f>
        <v>6350</v>
      </c>
      <c r="F143" s="25"/>
      <c r="G143" s="43"/>
    </row>
    <row r="144" ht="17.85" customHeight="1" spans="1:7">
      <c r="A144" s="22" t="s">
        <v>148</v>
      </c>
      <c r="B144" s="23">
        <v>12182</v>
      </c>
      <c r="C144" s="23">
        <v>6050</v>
      </c>
      <c r="D144" s="23">
        <f>-1+6638</f>
        <v>6637</v>
      </c>
      <c r="E144" s="28">
        <f>-1+6488</f>
        <v>6487</v>
      </c>
      <c r="F144" s="25"/>
      <c r="G144" s="43"/>
    </row>
    <row r="145" ht="17.85" customHeight="1" spans="1:7">
      <c r="A145" s="22" t="s">
        <v>149</v>
      </c>
      <c r="B145" s="23"/>
      <c r="C145" s="23"/>
      <c r="D145" s="23"/>
      <c r="E145" s="28"/>
      <c r="F145" s="25"/>
      <c r="G145" s="43"/>
    </row>
    <row r="146" ht="17.85" customHeight="1" spans="1:7">
      <c r="A146" s="22" t="s">
        <v>150</v>
      </c>
      <c r="B146" s="23">
        <v>3907</v>
      </c>
      <c r="C146" s="23">
        <v>3869</v>
      </c>
      <c r="D146" s="23">
        <f>1+8035</f>
        <v>8036</v>
      </c>
      <c r="E146" s="28">
        <f>1+8035</f>
        <v>8036</v>
      </c>
      <c r="F146" s="25"/>
      <c r="G146" s="43"/>
    </row>
    <row r="147" ht="17.85" customHeight="1" spans="1:7">
      <c r="A147" s="22" t="s">
        <v>151</v>
      </c>
      <c r="B147" s="23">
        <v>40</v>
      </c>
      <c r="C147" s="23">
        <v>20</v>
      </c>
      <c r="D147" s="23"/>
      <c r="E147" s="28"/>
      <c r="F147" s="25"/>
      <c r="G147" s="43"/>
    </row>
    <row r="148" ht="17.85" customHeight="1" spans="1:7">
      <c r="A148" s="22" t="s">
        <v>152</v>
      </c>
      <c r="B148" s="23">
        <v>14070</v>
      </c>
      <c r="C148" s="23">
        <v>9605</v>
      </c>
      <c r="D148" s="23">
        <v>9423</v>
      </c>
      <c r="E148" s="28">
        <v>7486</v>
      </c>
      <c r="F148" s="25"/>
      <c r="G148" s="43"/>
    </row>
    <row r="149" ht="17.85" customHeight="1" spans="1:7">
      <c r="A149" s="22" t="s">
        <v>153</v>
      </c>
      <c r="B149" s="23">
        <v>1010</v>
      </c>
      <c r="C149" s="23">
        <v>138</v>
      </c>
      <c r="D149" s="23">
        <f>-5+2063</f>
        <v>2058</v>
      </c>
      <c r="E149" s="28">
        <f>-5+2033</f>
        <v>2028</v>
      </c>
      <c r="F149" s="25"/>
      <c r="G149" s="43"/>
    </row>
    <row r="150" ht="17.85" customHeight="1" spans="1:7">
      <c r="A150" s="22" t="s">
        <v>154</v>
      </c>
      <c r="B150" s="23"/>
      <c r="C150" s="23"/>
      <c r="D150" s="23"/>
      <c r="E150" s="28"/>
      <c r="F150" s="25"/>
      <c r="G150" s="43"/>
    </row>
    <row r="151" ht="17.85" customHeight="1" spans="1:7">
      <c r="A151" s="22" t="s">
        <v>155</v>
      </c>
      <c r="B151" s="23">
        <v>5334</v>
      </c>
      <c r="C151" s="23">
        <v>428</v>
      </c>
      <c r="D151" s="23">
        <v>100</v>
      </c>
      <c r="E151" s="28">
        <v>100</v>
      </c>
      <c r="F151" s="25"/>
      <c r="G151" s="43"/>
    </row>
    <row r="152" ht="17.85" customHeight="1" spans="1:7">
      <c r="A152" s="22" t="s">
        <v>156</v>
      </c>
      <c r="B152" s="23">
        <v>41827</v>
      </c>
      <c r="C152" s="23">
        <v>10300</v>
      </c>
      <c r="D152" s="23">
        <f>SUM(D153:D159)</f>
        <v>23336</v>
      </c>
      <c r="E152" s="23">
        <f>SUM(E153:E159)</f>
        <v>21355</v>
      </c>
      <c r="F152" s="25">
        <f>IF(B152&lt;&gt;0,D152/B152,0)</f>
        <v>0.557917134865039</v>
      </c>
      <c r="G152" s="43"/>
    </row>
    <row r="153" ht="17.85" customHeight="1" spans="1:7">
      <c r="A153" s="22" t="s">
        <v>157</v>
      </c>
      <c r="B153" s="23">
        <v>41351</v>
      </c>
      <c r="C153" s="23">
        <v>10017</v>
      </c>
      <c r="D153" s="23">
        <f>1+18563</f>
        <v>18564</v>
      </c>
      <c r="E153" s="23">
        <f>1+17753</f>
        <v>17754</v>
      </c>
      <c r="F153" s="25"/>
      <c r="G153" s="43"/>
    </row>
    <row r="154" ht="17.85" customHeight="1" spans="1:7">
      <c r="A154" s="22" t="s">
        <v>158</v>
      </c>
      <c r="B154" s="23">
        <v>10</v>
      </c>
      <c r="C154" s="23"/>
      <c r="D154" s="23"/>
      <c r="E154" s="23"/>
      <c r="F154" s="25"/>
      <c r="G154" s="43"/>
    </row>
    <row r="155" ht="17.85" customHeight="1" spans="1:7">
      <c r="A155" s="22" t="s">
        <v>159</v>
      </c>
      <c r="B155" s="23"/>
      <c r="C155" s="23"/>
      <c r="D155" s="23"/>
      <c r="E155" s="23"/>
      <c r="F155" s="25"/>
      <c r="G155" s="43"/>
    </row>
    <row r="156" ht="17.85" customHeight="1" spans="1:7">
      <c r="A156" s="22" t="s">
        <v>160</v>
      </c>
      <c r="B156" s="23">
        <v>466</v>
      </c>
      <c r="C156" s="23">
        <v>283</v>
      </c>
      <c r="D156" s="23">
        <v>909</v>
      </c>
      <c r="E156" s="23">
        <v>0</v>
      </c>
      <c r="F156" s="25"/>
      <c r="G156" s="43"/>
    </row>
    <row r="157" ht="17.85" customHeight="1" spans="1:7">
      <c r="A157" s="22" t="s">
        <v>161</v>
      </c>
      <c r="B157" s="23"/>
      <c r="C157" s="23"/>
      <c r="D157" s="23">
        <v>70</v>
      </c>
      <c r="E157" s="23">
        <v>70</v>
      </c>
      <c r="F157" s="25"/>
      <c r="G157" s="43"/>
    </row>
    <row r="158" ht="17.85" customHeight="1" spans="1:7">
      <c r="A158" s="22" t="s">
        <v>162</v>
      </c>
      <c r="B158" s="23"/>
      <c r="C158" s="23"/>
      <c r="D158" s="23">
        <v>3000</v>
      </c>
      <c r="E158" s="23">
        <v>3000</v>
      </c>
      <c r="F158" s="25"/>
      <c r="G158" s="43"/>
    </row>
    <row r="159" ht="17.85" customHeight="1" spans="1:7">
      <c r="A159" s="22" t="s">
        <v>163</v>
      </c>
      <c r="B159" s="23"/>
      <c r="C159" s="23"/>
      <c r="D159" s="23">
        <v>793</v>
      </c>
      <c r="E159" s="23">
        <v>531</v>
      </c>
      <c r="F159" s="25"/>
      <c r="G159" s="43"/>
    </row>
    <row r="160" ht="17.85" customHeight="1" spans="1:7">
      <c r="A160" s="22" t="s">
        <v>164</v>
      </c>
      <c r="B160" s="23">
        <v>11814</v>
      </c>
      <c r="C160" s="23">
        <v>10962</v>
      </c>
      <c r="D160" s="23">
        <f>SUM(D161:D167)</f>
        <v>9623</v>
      </c>
      <c r="E160" s="23">
        <f>SUM(E161:E167)</f>
        <v>9623</v>
      </c>
      <c r="F160" s="25">
        <f>IF(B160&lt;&gt;0,D160/B160,0)</f>
        <v>0.814542068732013</v>
      </c>
      <c r="G160" s="43"/>
    </row>
    <row r="161" ht="17.85" customHeight="1" spans="1:7">
      <c r="A161" s="22" t="s">
        <v>165</v>
      </c>
      <c r="B161" s="23"/>
      <c r="C161" s="23"/>
      <c r="D161" s="23"/>
      <c r="E161" s="23"/>
      <c r="F161" s="25">
        <f>IF(B161&lt;&gt;0,D161/B161,0)</f>
        <v>0</v>
      </c>
      <c r="G161" s="43"/>
    </row>
    <row r="162" ht="17.85" customHeight="1" spans="1:7">
      <c r="A162" s="22" t="s">
        <v>166</v>
      </c>
      <c r="B162" s="23">
        <v>258</v>
      </c>
      <c r="C162" s="23">
        <v>258</v>
      </c>
      <c r="D162" s="23">
        <f>4+241</f>
        <v>245</v>
      </c>
      <c r="E162" s="23">
        <f>4+241</f>
        <v>245</v>
      </c>
      <c r="F162" s="25"/>
      <c r="G162" s="43"/>
    </row>
    <row r="163" ht="17.85" customHeight="1" spans="1:7">
      <c r="A163" s="22" t="s">
        <v>167</v>
      </c>
      <c r="B163" s="23">
        <v>32</v>
      </c>
      <c r="C163" s="23">
        <v>32</v>
      </c>
      <c r="D163" s="23">
        <v>31</v>
      </c>
      <c r="E163" s="23">
        <v>31</v>
      </c>
      <c r="F163" s="25"/>
      <c r="G163" s="43"/>
    </row>
    <row r="164" ht="17.85" customHeight="1" spans="1:7">
      <c r="A164" s="22" t="s">
        <v>168</v>
      </c>
      <c r="B164" s="23">
        <v>1830</v>
      </c>
      <c r="C164" s="23">
        <v>1830</v>
      </c>
      <c r="D164" s="23">
        <v>4596</v>
      </c>
      <c r="E164" s="23">
        <v>4596</v>
      </c>
      <c r="F164" s="25"/>
      <c r="G164" s="43"/>
    </row>
    <row r="165" ht="17.85" customHeight="1" spans="1:7">
      <c r="A165" s="22" t="s">
        <v>169</v>
      </c>
      <c r="B165" s="23">
        <v>43</v>
      </c>
      <c r="C165" s="23">
        <v>43</v>
      </c>
      <c r="D165" s="23">
        <v>23</v>
      </c>
      <c r="E165" s="23">
        <v>23</v>
      </c>
      <c r="F165" s="25"/>
      <c r="G165" s="43"/>
    </row>
    <row r="166" ht="17.85" customHeight="1" spans="1:7">
      <c r="A166" s="22" t="s">
        <v>170</v>
      </c>
      <c r="B166" s="23">
        <v>9631</v>
      </c>
      <c r="C166" s="23">
        <v>8799</v>
      </c>
      <c r="D166" s="23">
        <f>-640+5354</f>
        <v>4714</v>
      </c>
      <c r="E166" s="23">
        <f>-640+5354</f>
        <v>4714</v>
      </c>
      <c r="F166" s="25"/>
      <c r="G166" s="43"/>
    </row>
    <row r="167" ht="17.85" customHeight="1" spans="1:7">
      <c r="A167" s="22" t="s">
        <v>171</v>
      </c>
      <c r="B167" s="23">
        <v>20</v>
      </c>
      <c r="C167" s="23"/>
      <c r="D167" s="23">
        <v>14</v>
      </c>
      <c r="E167" s="23">
        <v>14</v>
      </c>
      <c r="F167" s="25"/>
      <c r="G167" s="43"/>
    </row>
    <row r="168" ht="17.85" customHeight="1" spans="1:7">
      <c r="A168" s="22" t="s">
        <v>172</v>
      </c>
      <c r="B168" s="23">
        <v>1942</v>
      </c>
      <c r="C168" s="23">
        <v>1777</v>
      </c>
      <c r="D168" s="23">
        <f>SUM(D169:D171)</f>
        <v>1729</v>
      </c>
      <c r="E168" s="23">
        <f>SUM(E169:E171)</f>
        <v>1515</v>
      </c>
      <c r="F168" s="25">
        <f t="shared" ref="F168:F186" si="1">IF(B168&lt;&gt;0,D168/B168,0)</f>
        <v>0.890319258496395</v>
      </c>
      <c r="G168" s="43"/>
    </row>
    <row r="169" ht="17.85" customHeight="1" spans="1:7">
      <c r="A169" s="22" t="s">
        <v>173</v>
      </c>
      <c r="B169" s="23">
        <v>1744</v>
      </c>
      <c r="C169" s="23">
        <v>1579</v>
      </c>
      <c r="D169" s="23">
        <f>-10+1550</f>
        <v>1540</v>
      </c>
      <c r="E169" s="28">
        <f>-10+1390</f>
        <v>1380</v>
      </c>
      <c r="F169" s="25"/>
      <c r="G169" s="43"/>
    </row>
    <row r="170" ht="17.85" customHeight="1" spans="1:7">
      <c r="A170" s="22" t="s">
        <v>174</v>
      </c>
      <c r="B170" s="23">
        <v>198</v>
      </c>
      <c r="C170" s="23">
        <v>198</v>
      </c>
      <c r="D170" s="23">
        <v>189</v>
      </c>
      <c r="E170" s="28">
        <v>135</v>
      </c>
      <c r="F170" s="25"/>
      <c r="G170" s="43"/>
    </row>
    <row r="171" ht="17.85" customHeight="1" spans="1:7">
      <c r="A171" s="22" t="s">
        <v>175</v>
      </c>
      <c r="B171" s="23"/>
      <c r="C171" s="23"/>
      <c r="D171" s="23"/>
      <c r="E171" s="28"/>
      <c r="F171" s="25"/>
      <c r="G171" s="43"/>
    </row>
    <row r="172" ht="17.85" customHeight="1" spans="1:7">
      <c r="A172" s="22" t="s">
        <v>176</v>
      </c>
      <c r="B172" s="23">
        <v>152</v>
      </c>
      <c r="C172" s="23">
        <v>152</v>
      </c>
      <c r="D172" s="23">
        <f>SUM(D173:D175)</f>
        <v>168</v>
      </c>
      <c r="E172" s="23">
        <f>SUM(E173:E175)</f>
        <v>168</v>
      </c>
      <c r="F172" s="25">
        <f t="shared" si="1"/>
        <v>1.10526315789474</v>
      </c>
      <c r="G172" s="43"/>
    </row>
    <row r="173" ht="17.85" customHeight="1" spans="1:7">
      <c r="A173" s="22" t="s">
        <v>177</v>
      </c>
      <c r="B173" s="23">
        <v>152</v>
      </c>
      <c r="C173" s="23">
        <v>152</v>
      </c>
      <c r="D173" s="23">
        <f>1+167</f>
        <v>168</v>
      </c>
      <c r="E173" s="28">
        <f>1+167</f>
        <v>168</v>
      </c>
      <c r="F173" s="25">
        <f t="shared" si="1"/>
        <v>1.10526315789474</v>
      </c>
      <c r="G173" s="43"/>
    </row>
    <row r="174" ht="17.85" customHeight="1" spans="1:7">
      <c r="A174" s="22" t="s">
        <v>178</v>
      </c>
      <c r="B174" s="23"/>
      <c r="C174" s="23"/>
      <c r="D174" s="23"/>
      <c r="E174" s="28"/>
      <c r="F174" s="25">
        <f t="shared" si="1"/>
        <v>0</v>
      </c>
      <c r="G174" s="43"/>
    </row>
    <row r="175" ht="17.85" customHeight="1" spans="1:7">
      <c r="A175" s="22" t="s">
        <v>179</v>
      </c>
      <c r="B175" s="23"/>
      <c r="C175" s="23"/>
      <c r="D175" s="23"/>
      <c r="E175" s="28"/>
      <c r="F175" s="25">
        <f t="shared" si="1"/>
        <v>0</v>
      </c>
      <c r="G175" s="43"/>
    </row>
    <row r="176" ht="17.85" hidden="1" customHeight="1" spans="1:7">
      <c r="A176" s="22" t="s">
        <v>180</v>
      </c>
      <c r="B176" s="23"/>
      <c r="C176" s="23"/>
      <c r="D176" s="23"/>
      <c r="E176" s="28"/>
      <c r="F176" s="25">
        <f t="shared" si="1"/>
        <v>0</v>
      </c>
      <c r="G176" s="43"/>
    </row>
    <row r="177" ht="17.85" hidden="1" customHeight="1" spans="1:7">
      <c r="A177" s="22" t="s">
        <v>181</v>
      </c>
      <c r="B177" s="23"/>
      <c r="C177" s="23"/>
      <c r="D177" s="23"/>
      <c r="E177" s="28"/>
      <c r="F177" s="25">
        <f t="shared" si="1"/>
        <v>0</v>
      </c>
      <c r="G177" s="43"/>
    </row>
    <row r="178" ht="17.85" hidden="1" customHeight="1" spans="1:7">
      <c r="A178" s="22" t="s">
        <v>182</v>
      </c>
      <c r="B178" s="23"/>
      <c r="C178" s="23"/>
      <c r="D178" s="23"/>
      <c r="E178" s="28"/>
      <c r="F178" s="25">
        <f t="shared" si="1"/>
        <v>0</v>
      </c>
      <c r="G178" s="43"/>
    </row>
    <row r="179" ht="17.85" hidden="1" customHeight="1" spans="1:7">
      <c r="A179" s="22" t="s">
        <v>183</v>
      </c>
      <c r="B179" s="23"/>
      <c r="C179" s="23"/>
      <c r="D179" s="23"/>
      <c r="E179" s="28"/>
      <c r="F179" s="25">
        <f t="shared" si="1"/>
        <v>0</v>
      </c>
      <c r="G179" s="43"/>
    </row>
    <row r="180" ht="17.85" hidden="1" customHeight="1" spans="1:7">
      <c r="A180" s="22" t="s">
        <v>184</v>
      </c>
      <c r="B180" s="23"/>
      <c r="C180" s="23"/>
      <c r="D180" s="23"/>
      <c r="E180" s="28"/>
      <c r="F180" s="25">
        <f t="shared" si="1"/>
        <v>0</v>
      </c>
      <c r="G180" s="43"/>
    </row>
    <row r="181" ht="17.85" hidden="1" customHeight="1" spans="1:7">
      <c r="A181" s="22" t="s">
        <v>185</v>
      </c>
      <c r="B181" s="23"/>
      <c r="C181" s="23"/>
      <c r="D181" s="23"/>
      <c r="E181" s="28"/>
      <c r="F181" s="25">
        <f t="shared" si="1"/>
        <v>0</v>
      </c>
      <c r="G181" s="43"/>
    </row>
    <row r="182" ht="17.85" hidden="1" customHeight="1" spans="1:7">
      <c r="A182" s="22" t="s">
        <v>146</v>
      </c>
      <c r="B182" s="23"/>
      <c r="C182" s="23"/>
      <c r="D182" s="23"/>
      <c r="E182" s="28"/>
      <c r="F182" s="25">
        <f t="shared" si="1"/>
        <v>0</v>
      </c>
      <c r="G182" s="43"/>
    </row>
    <row r="183" ht="17.85" hidden="1" customHeight="1" spans="1:7">
      <c r="A183" s="22" t="s">
        <v>186</v>
      </c>
      <c r="B183" s="23"/>
      <c r="C183" s="23"/>
      <c r="D183" s="23"/>
      <c r="E183" s="28"/>
      <c r="F183" s="25">
        <f t="shared" si="1"/>
        <v>0</v>
      </c>
      <c r="G183" s="43"/>
    </row>
    <row r="184" ht="17.85" hidden="1" customHeight="1" spans="1:7">
      <c r="A184" s="22" t="s">
        <v>187</v>
      </c>
      <c r="B184" s="23"/>
      <c r="C184" s="23"/>
      <c r="D184" s="23"/>
      <c r="E184" s="28"/>
      <c r="F184" s="25">
        <f t="shared" si="1"/>
        <v>0</v>
      </c>
      <c r="G184" s="43"/>
    </row>
    <row r="185" ht="17.85" hidden="1" customHeight="1" spans="1:7">
      <c r="A185" s="22" t="s">
        <v>188</v>
      </c>
      <c r="B185" s="23"/>
      <c r="C185" s="23"/>
      <c r="D185" s="23"/>
      <c r="E185" s="28"/>
      <c r="F185" s="25">
        <f t="shared" si="1"/>
        <v>0</v>
      </c>
      <c r="G185" s="43"/>
    </row>
    <row r="186" ht="17.85" customHeight="1" spans="1:7">
      <c r="A186" s="22" t="s">
        <v>189</v>
      </c>
      <c r="B186" s="23">
        <v>8043</v>
      </c>
      <c r="C186" s="23">
        <v>7668</v>
      </c>
      <c r="D186" s="23">
        <f>SUM(D187:D190)</f>
        <v>9696</v>
      </c>
      <c r="E186" s="23">
        <f>SUM(E187:E190)</f>
        <v>8899</v>
      </c>
      <c r="F186" s="25">
        <f t="shared" si="1"/>
        <v>1.20552032823573</v>
      </c>
      <c r="G186" s="43"/>
    </row>
    <row r="187" ht="17.85" customHeight="1" spans="1:7">
      <c r="A187" s="22" t="s">
        <v>190</v>
      </c>
      <c r="B187" s="23">
        <v>7665</v>
      </c>
      <c r="C187" s="23">
        <v>7290</v>
      </c>
      <c r="D187" s="23">
        <f>-159+9501</f>
        <v>9342</v>
      </c>
      <c r="E187" s="23">
        <f>-159+8704</f>
        <v>8545</v>
      </c>
      <c r="F187" s="25"/>
      <c r="G187" s="43"/>
    </row>
    <row r="188" ht="17.85" customHeight="1" spans="1:7">
      <c r="A188" s="22" t="s">
        <v>191</v>
      </c>
      <c r="B188" s="23"/>
      <c r="C188" s="23"/>
      <c r="D188" s="23"/>
      <c r="E188" s="28"/>
      <c r="F188" s="25"/>
      <c r="G188" s="43"/>
    </row>
    <row r="189" ht="17.85" customHeight="1" spans="1:7">
      <c r="A189" s="22" t="s">
        <v>192</v>
      </c>
      <c r="B189" s="23"/>
      <c r="C189" s="23"/>
      <c r="D189" s="23"/>
      <c r="E189" s="28"/>
      <c r="F189" s="25"/>
      <c r="G189" s="43"/>
    </row>
    <row r="190" ht="17.85" customHeight="1" spans="1:7">
      <c r="A190" s="22" t="s">
        <v>193</v>
      </c>
      <c r="B190" s="23">
        <v>378</v>
      </c>
      <c r="C190" s="23">
        <v>378</v>
      </c>
      <c r="D190" s="23">
        <v>354</v>
      </c>
      <c r="E190" s="28">
        <v>354</v>
      </c>
      <c r="F190" s="25"/>
      <c r="G190" s="43"/>
    </row>
    <row r="191" ht="17.85" customHeight="1" spans="1:7">
      <c r="A191" s="22" t="s">
        <v>194</v>
      </c>
      <c r="B191" s="23"/>
      <c r="C191" s="23"/>
      <c r="D191" s="23"/>
      <c r="E191" s="28"/>
      <c r="F191" s="25">
        <f t="shared" ref="F191:F196" si="2">IF(B191&lt;&gt;0,D191/B191,0)</f>
        <v>0</v>
      </c>
      <c r="G191" s="43"/>
    </row>
    <row r="192" ht="17.85" customHeight="1" spans="1:7">
      <c r="A192" s="22" t="s">
        <v>195</v>
      </c>
      <c r="B192" s="23">
        <v>18875</v>
      </c>
      <c r="C192" s="23">
        <v>9451</v>
      </c>
      <c r="D192" s="23">
        <f>SUM(D193:D195)</f>
        <v>21794</v>
      </c>
      <c r="E192" s="23">
        <f>SUM(E193:E195)</f>
        <v>21472</v>
      </c>
      <c r="F192" s="25">
        <f t="shared" si="2"/>
        <v>1.15464900662252</v>
      </c>
      <c r="G192" s="43"/>
    </row>
    <row r="193" ht="17.85" customHeight="1" spans="1:7">
      <c r="A193" s="22" t="s">
        <v>196</v>
      </c>
      <c r="B193" s="23">
        <v>11529</v>
      </c>
      <c r="C193" s="23">
        <v>2105</v>
      </c>
      <c r="D193" s="23">
        <v>10791</v>
      </c>
      <c r="E193" s="23">
        <v>10469</v>
      </c>
      <c r="F193" s="25"/>
      <c r="G193" s="43"/>
    </row>
    <row r="194" ht="17.85" customHeight="1" spans="1:7">
      <c r="A194" s="22" t="s">
        <v>197</v>
      </c>
      <c r="B194" s="23">
        <v>6400</v>
      </c>
      <c r="C194" s="23">
        <v>6400</v>
      </c>
      <c r="D194" s="23">
        <v>9964</v>
      </c>
      <c r="E194" s="23">
        <v>9964</v>
      </c>
      <c r="F194" s="25"/>
      <c r="G194" s="43"/>
    </row>
    <row r="195" ht="17.85" customHeight="1" spans="1:7">
      <c r="A195" s="22" t="s">
        <v>198</v>
      </c>
      <c r="B195" s="23">
        <v>946</v>
      </c>
      <c r="C195" s="23">
        <v>946</v>
      </c>
      <c r="D195" s="23">
        <v>1039</v>
      </c>
      <c r="E195" s="23">
        <v>1039</v>
      </c>
      <c r="F195" s="25"/>
      <c r="G195" s="43"/>
    </row>
    <row r="196" ht="17.85" customHeight="1" spans="1:7">
      <c r="A196" s="22" t="s">
        <v>199</v>
      </c>
      <c r="B196" s="23">
        <v>2573</v>
      </c>
      <c r="C196" s="23">
        <v>2013</v>
      </c>
      <c r="D196" s="23">
        <f>SUM(D197:D201)</f>
        <v>1574</v>
      </c>
      <c r="E196" s="23">
        <f>SUM(E197:E201)</f>
        <v>1574</v>
      </c>
      <c r="F196" s="25">
        <f t="shared" si="2"/>
        <v>0.611737271667314</v>
      </c>
      <c r="G196" s="43"/>
    </row>
    <row r="197" ht="17.85" customHeight="1" spans="1:7">
      <c r="A197" s="22" t="s">
        <v>200</v>
      </c>
      <c r="B197" s="23">
        <v>2315</v>
      </c>
      <c r="C197" s="23">
        <v>1755</v>
      </c>
      <c r="D197" s="23">
        <v>1574</v>
      </c>
      <c r="E197" s="28">
        <v>1574</v>
      </c>
      <c r="F197" s="25"/>
      <c r="G197" s="43"/>
    </row>
    <row r="198" ht="17.85" customHeight="1" spans="1:7">
      <c r="A198" s="22" t="s">
        <v>201</v>
      </c>
      <c r="B198" s="23">
        <v>129</v>
      </c>
      <c r="C198" s="23">
        <v>129</v>
      </c>
      <c r="D198" s="23"/>
      <c r="E198" s="28"/>
      <c r="F198" s="25"/>
      <c r="G198" s="43"/>
    </row>
    <row r="199" ht="17.85" customHeight="1" spans="1:7">
      <c r="A199" s="22" t="s">
        <v>202</v>
      </c>
      <c r="B199" s="23"/>
      <c r="C199" s="23"/>
      <c r="D199" s="23"/>
      <c r="E199" s="28"/>
      <c r="F199" s="25"/>
      <c r="G199" s="43"/>
    </row>
    <row r="200" ht="17.85" customHeight="1" spans="1:7">
      <c r="A200" s="22" t="s">
        <v>203</v>
      </c>
      <c r="B200" s="23">
        <v>129</v>
      </c>
      <c r="C200" s="23">
        <v>129</v>
      </c>
      <c r="D200" s="23"/>
      <c r="E200" s="28"/>
      <c r="F200" s="25"/>
      <c r="G200" s="43"/>
    </row>
    <row r="201" ht="17.85" customHeight="1" spans="1:7">
      <c r="A201" s="22" t="s">
        <v>204</v>
      </c>
      <c r="B201" s="23"/>
      <c r="C201" s="23"/>
      <c r="D201" s="23"/>
      <c r="E201" s="28"/>
      <c r="F201" s="25">
        <f>IF(B201&lt;&gt;0,D201/B201,0)</f>
        <v>0</v>
      </c>
      <c r="G201" s="43"/>
    </row>
    <row r="202" ht="17.85" customHeight="1" spans="1:7">
      <c r="A202" s="22" t="s">
        <v>205</v>
      </c>
      <c r="B202" s="23">
        <v>14945</v>
      </c>
      <c r="C202" s="23">
        <v>14945</v>
      </c>
      <c r="D202" s="23">
        <f>SUM(D203:D210)</f>
        <v>12019</v>
      </c>
      <c r="E202" s="23">
        <f>SUM(E203:E210)</f>
        <v>11054</v>
      </c>
      <c r="F202" s="25">
        <f>IF(B202&lt;&gt;0,D202/B202,0)</f>
        <v>0.804215456674473</v>
      </c>
      <c r="G202" s="43"/>
    </row>
    <row r="203" ht="17.85" customHeight="1" spans="1:7">
      <c r="A203" s="22" t="s">
        <v>206</v>
      </c>
      <c r="B203" s="23">
        <v>4602</v>
      </c>
      <c r="C203" s="23">
        <v>4602</v>
      </c>
      <c r="D203" s="23">
        <f>1095+4221</f>
        <v>5316</v>
      </c>
      <c r="E203" s="23">
        <f>1095+4221</f>
        <v>5316</v>
      </c>
      <c r="F203" s="25"/>
      <c r="G203" s="43"/>
    </row>
    <row r="204" ht="17.85" customHeight="1" spans="1:7">
      <c r="A204" s="22" t="s">
        <v>207</v>
      </c>
      <c r="B204" s="23">
        <v>4564</v>
      </c>
      <c r="C204" s="23">
        <v>4564</v>
      </c>
      <c r="D204" s="23">
        <f>-1933+3931</f>
        <v>1998</v>
      </c>
      <c r="E204" s="23">
        <f>-1933+3331</f>
        <v>1398</v>
      </c>
      <c r="F204" s="25"/>
      <c r="G204" s="43"/>
    </row>
    <row r="205" ht="17.85" customHeight="1" spans="1:7">
      <c r="A205" s="22" t="s">
        <v>208</v>
      </c>
      <c r="B205" s="23">
        <v>459</v>
      </c>
      <c r="C205" s="23">
        <v>459</v>
      </c>
      <c r="D205" s="23">
        <f>263+602</f>
        <v>865</v>
      </c>
      <c r="E205" s="23">
        <f>263+242</f>
        <v>505</v>
      </c>
      <c r="F205" s="25"/>
      <c r="G205" s="43"/>
    </row>
    <row r="206" ht="17.85" customHeight="1" spans="1:7">
      <c r="A206" s="22" t="s">
        <v>209</v>
      </c>
      <c r="B206" s="23">
        <v>4686</v>
      </c>
      <c r="C206" s="23">
        <v>4686</v>
      </c>
      <c r="D206" s="23">
        <v>2861</v>
      </c>
      <c r="E206" s="23">
        <v>2861</v>
      </c>
      <c r="F206" s="25"/>
      <c r="G206" s="43"/>
    </row>
    <row r="207" ht="18" customHeight="1" spans="1:7">
      <c r="A207" s="22" t="s">
        <v>210</v>
      </c>
      <c r="B207" s="23">
        <v>454</v>
      </c>
      <c r="C207" s="23">
        <v>454</v>
      </c>
      <c r="D207" s="23">
        <v>529</v>
      </c>
      <c r="E207" s="23">
        <v>529</v>
      </c>
      <c r="F207" s="25"/>
      <c r="G207" s="43"/>
    </row>
    <row r="208" ht="18" customHeight="1" spans="1:7">
      <c r="A208" s="22" t="s">
        <v>211</v>
      </c>
      <c r="B208" s="23">
        <v>180</v>
      </c>
      <c r="C208" s="23">
        <v>180</v>
      </c>
      <c r="D208" s="23">
        <f>90+296</f>
        <v>386</v>
      </c>
      <c r="E208" s="23">
        <f>90+296</f>
        <v>386</v>
      </c>
      <c r="F208" s="25"/>
      <c r="G208" s="43"/>
    </row>
    <row r="209" ht="17.85" customHeight="1" spans="1:7">
      <c r="A209" s="22" t="s">
        <v>212</v>
      </c>
      <c r="B209" s="23"/>
      <c r="C209" s="23"/>
      <c r="D209" s="23"/>
      <c r="E209" s="23"/>
      <c r="F209" s="25">
        <f t="shared" ref="F209:F214" si="3">IF(B209&lt;&gt;0,D209/B209,0)</f>
        <v>0</v>
      </c>
      <c r="G209" s="43"/>
    </row>
    <row r="210" ht="17.85" customHeight="1" spans="1:7">
      <c r="A210" s="22" t="s">
        <v>213</v>
      </c>
      <c r="B210" s="23"/>
      <c r="C210" s="23"/>
      <c r="D210" s="23">
        <v>64</v>
      </c>
      <c r="E210" s="23">
        <v>59</v>
      </c>
      <c r="F210" s="25">
        <f t="shared" si="3"/>
        <v>0</v>
      </c>
      <c r="G210" s="43"/>
    </row>
    <row r="211" ht="21.75" customHeight="1" spans="1:7">
      <c r="A211" s="22" t="s">
        <v>214</v>
      </c>
      <c r="B211" s="23">
        <v>12321</v>
      </c>
      <c r="C211" s="23">
        <v>12321</v>
      </c>
      <c r="D211" s="23">
        <f>11117+795</f>
        <v>11912</v>
      </c>
      <c r="E211" s="28">
        <f>795+11117</f>
        <v>11912</v>
      </c>
      <c r="F211" s="25">
        <f t="shared" si="3"/>
        <v>0.966804642480318</v>
      </c>
      <c r="G211" s="43"/>
    </row>
    <row r="212" ht="21.75" customHeight="1" spans="1:7">
      <c r="A212" s="22" t="s">
        <v>215</v>
      </c>
      <c r="B212" s="23"/>
      <c r="C212" s="23"/>
      <c r="D212" s="23"/>
      <c r="E212" s="28"/>
      <c r="F212" s="25">
        <f t="shared" si="3"/>
        <v>0</v>
      </c>
      <c r="G212" s="43"/>
    </row>
    <row r="213" ht="21.75" customHeight="1" spans="1:7">
      <c r="A213" s="22" t="s">
        <v>216</v>
      </c>
      <c r="B213" s="23"/>
      <c r="C213" s="23"/>
      <c r="D213" s="23"/>
      <c r="E213" s="28"/>
      <c r="F213" s="25">
        <f t="shared" si="3"/>
        <v>0</v>
      </c>
      <c r="G213" s="43"/>
    </row>
    <row r="214" ht="21.75" customHeight="1" spans="1:7">
      <c r="A214" s="22" t="s">
        <v>217</v>
      </c>
      <c r="B214" s="23">
        <v>31378</v>
      </c>
      <c r="C214" s="23">
        <v>31378</v>
      </c>
      <c r="D214" s="23">
        <v>35489</v>
      </c>
      <c r="E214" s="28">
        <v>35489</v>
      </c>
      <c r="F214" s="25">
        <f t="shared" si="3"/>
        <v>1.13101536108101</v>
      </c>
      <c r="G214" s="43"/>
    </row>
    <row r="215" ht="21.75" customHeight="1" spans="1:7">
      <c r="A215" s="22" t="s">
        <v>218</v>
      </c>
      <c r="B215" s="23">
        <v>31378</v>
      </c>
      <c r="C215" s="23">
        <v>31378</v>
      </c>
      <c r="D215" s="23">
        <v>35489</v>
      </c>
      <c r="E215" s="28">
        <v>35489</v>
      </c>
      <c r="F215" s="25"/>
      <c r="G215" s="43"/>
    </row>
    <row r="216" ht="25.5" customHeight="1" spans="1:7">
      <c r="A216" s="22" t="s">
        <v>219</v>
      </c>
      <c r="B216" s="23">
        <v>200</v>
      </c>
      <c r="C216" s="23">
        <v>200</v>
      </c>
      <c r="D216" s="23">
        <v>600</v>
      </c>
      <c r="E216" s="28">
        <v>600</v>
      </c>
      <c r="F216" s="25">
        <f t="shared" ref="F216:F219" si="4">IF(B216&lt;&gt;0,D216/B216,0)</f>
        <v>3</v>
      </c>
      <c r="G216" s="43"/>
    </row>
    <row r="217" ht="25.5" customHeight="1" spans="1:7">
      <c r="A217" s="22" t="s">
        <v>220</v>
      </c>
      <c r="B217" s="23">
        <v>200</v>
      </c>
      <c r="C217" s="23">
        <v>200</v>
      </c>
      <c r="D217" s="23">
        <v>600</v>
      </c>
      <c r="E217" s="28">
        <v>600</v>
      </c>
      <c r="F217" s="25">
        <f t="shared" si="4"/>
        <v>3</v>
      </c>
      <c r="G217" s="43"/>
    </row>
    <row r="218" ht="18.75" customHeight="1" spans="1:7">
      <c r="A218" s="22" t="s">
        <v>221</v>
      </c>
      <c r="B218" s="23">
        <v>33051</v>
      </c>
      <c r="C218" s="23">
        <v>18740</v>
      </c>
      <c r="D218" s="23">
        <f>42027+10000+137</f>
        <v>52164</v>
      </c>
      <c r="E218" s="23">
        <f>137+40117</f>
        <v>40254</v>
      </c>
      <c r="F218" s="25">
        <f t="shared" si="4"/>
        <v>1.57828810020877</v>
      </c>
      <c r="G218" s="43"/>
    </row>
    <row r="219" ht="19.5" customHeight="1" spans="1:10">
      <c r="A219" s="46" t="s">
        <v>222</v>
      </c>
      <c r="B219" s="47">
        <v>1227588</v>
      </c>
      <c r="C219" s="47">
        <v>839650</v>
      </c>
      <c r="D219" s="47">
        <f>D218+D216+D214+D212+D211+D202+D196+D192+D186+D176+D172+D168+D160+D152+D141+D134+D118+D104+D83+D76+D65+D54+D42+D39+D34+D6</f>
        <v>1143628</v>
      </c>
      <c r="E219" s="47">
        <f>E218+E216+E214+E212+E211+E202+E196+E192+E186+E176+E172+E168+E160+E152+E141+E134+E118+E104+E83+E76+E65+E54+E42+E39+E34+E6</f>
        <v>880548</v>
      </c>
      <c r="F219" s="48">
        <f t="shared" si="4"/>
        <v>0.931605717879288</v>
      </c>
      <c r="G219" s="43"/>
      <c r="J219" s="6"/>
    </row>
    <row r="220" ht="19.5" customHeight="1" spans="1:7">
      <c r="A220" s="49" t="s">
        <v>223</v>
      </c>
      <c r="B220" s="23">
        <v>26798</v>
      </c>
      <c r="C220" s="23">
        <v>26798</v>
      </c>
      <c r="D220" s="23">
        <v>26245</v>
      </c>
      <c r="E220" s="23">
        <v>26245</v>
      </c>
      <c r="F220" s="25"/>
      <c r="G220" s="43"/>
    </row>
    <row r="221" ht="19.5" customHeight="1" spans="1:7">
      <c r="A221" s="49" t="s">
        <v>224</v>
      </c>
      <c r="B221" s="23">
        <v>4633</v>
      </c>
      <c r="C221" s="23">
        <v>4633</v>
      </c>
      <c r="D221" s="23">
        <v>335</v>
      </c>
      <c r="E221" s="23">
        <v>335</v>
      </c>
      <c r="F221" s="25"/>
      <c r="G221" s="43"/>
    </row>
    <row r="222" ht="19.5" customHeight="1" spans="1:7">
      <c r="A222" s="50" t="s">
        <v>225</v>
      </c>
      <c r="B222" s="23"/>
      <c r="C222" s="23"/>
      <c r="D222" s="23">
        <v>181442</v>
      </c>
      <c r="E222" s="23"/>
      <c r="F222" s="25"/>
      <c r="G222" s="43"/>
    </row>
    <row r="223" ht="19.5" customHeight="1" spans="1:7">
      <c r="A223" s="46" t="s">
        <v>226</v>
      </c>
      <c r="B223" s="47">
        <v>1259019</v>
      </c>
      <c r="C223" s="47">
        <f>C219+C220+C221+C222</f>
        <v>871081</v>
      </c>
      <c r="D223" s="47">
        <f>D219+D220+D221+D222</f>
        <v>1351650</v>
      </c>
      <c r="E223" s="47">
        <f>E219+E220+E221+E222</f>
        <v>907128</v>
      </c>
      <c r="F223" s="48">
        <f>IF(B223&lt;&gt;0,D223/B223,0)</f>
        <v>1.07357394924143</v>
      </c>
      <c r="G223" s="43"/>
    </row>
    <row r="224" customHeight="1" spans="7:7">
      <c r="G224" s="6"/>
    </row>
    <row r="225" customHeight="1" spans="7:7">
      <c r="G225" s="6"/>
    </row>
    <row r="226" customHeight="1" spans="7:7">
      <c r="G226" s="6"/>
    </row>
  </sheetData>
  <mergeCells count="7">
    <mergeCell ref="A3:A5"/>
    <mergeCell ref="B4:B5"/>
    <mergeCell ref="C4:C5"/>
    <mergeCell ref="D4:D5"/>
    <mergeCell ref="E4:E5"/>
    <mergeCell ref="F3:F5"/>
    <mergeCell ref="G3:G5"/>
  </mergeCells>
  <printOptions horizontalCentered="1"/>
  <pageMargins left="0.67" right="0.51" top="0.78740157480315" bottom="0.78740157480315" header="0.511811023622047" footer="0.31496062992126"/>
  <pageSetup paperSize="9" orientation="landscape" horizontalDpi="600" verticalDpi="600"/>
  <headerFooter alignWithMargins="0">
    <oddHeader>&amp;R表十一</oddHead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2021年全市财政支出预算支出表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周文如</dc:creator>
  <cp:lastModifiedBy>周文如</cp:lastModifiedBy>
  <dcterms:created xsi:type="dcterms:W3CDTF">2021-03-02T02:14:39Z</dcterms:created>
  <dcterms:modified xsi:type="dcterms:W3CDTF">2021-03-02T02:15:22Z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